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fileSharing readOnlyRecommended="1"/>
  <workbookPr codeName="ThisWorkbook" hidePivotFieldList="1" defaultThemeVersion="124226"/>
  <bookViews>
    <workbookView xWindow="9600" yWindow="165" windowWidth="9645" windowHeight="11460" tabRatio="919"/>
  </bookViews>
  <sheets>
    <sheet name="CONTENTS" sheetId="144" r:id="rId1"/>
    <sheet name="2.1" sheetId="139" r:id="rId2"/>
    <sheet name="2.2" sheetId="168" r:id="rId3"/>
    <sheet name="2.3" sheetId="165" r:id="rId4"/>
    <sheet name="2.4" sheetId="175" r:id="rId5"/>
    <sheet name="2.5" sheetId="176" r:id="rId6"/>
    <sheet name="2.6" sheetId="148" r:id="rId7"/>
    <sheet name="2.7" sheetId="178" r:id="rId8"/>
    <sheet name="Fig 2.1" sheetId="164" r:id="rId9"/>
    <sheet name="Fig 2.2" sheetId="174" r:id="rId10"/>
    <sheet name="Fig 2.3" sheetId="177" r:id="rId11"/>
    <sheet name="Fig 2.4" sheetId="141" r:id="rId12"/>
    <sheet name="Fig 2.5" sheetId="162" r:id="rId13"/>
    <sheet name="Fig 2.6" sheetId="155" r:id="rId14"/>
    <sheet name="Fig 2.7" sheetId="156" r:id="rId15"/>
    <sheet name="Fig 2.8" sheetId="182" r:id="rId16"/>
    <sheet name="Fig 2.9" sheetId="159" r:id="rId17"/>
    <sheet name="A2.1.1" sheetId="46" r:id="rId18"/>
    <sheet name="A2.1.1 continued" sheetId="73" r:id="rId19"/>
    <sheet name="A2.1.2" sheetId="172" r:id="rId20"/>
    <sheet name="A2.1.2 continued" sheetId="173" r:id="rId21"/>
    <sheet name="A2.1.3" sheetId="74" r:id="rId22"/>
    <sheet name="A2.1.4" sheetId="149" r:id="rId23"/>
    <sheet name="A2.1.5" sheetId="77" r:id="rId24"/>
    <sheet name="A2.1.6" sheetId="152" r:id="rId25"/>
    <sheet name="A2.2.1" sheetId="150" r:id="rId26"/>
    <sheet name="A2.3.1" sheetId="82" r:id="rId27"/>
    <sheet name="A2.3.1 continued" sheetId="83" r:id="rId28"/>
    <sheet name="A2.3.2" sheetId="194" r:id="rId29"/>
    <sheet name="A2.4.1" sheetId="91" r:id="rId30"/>
    <sheet name="A2.4.1 continued" sheetId="92" r:id="rId31"/>
    <sheet name="A2.5.1" sheetId="85" r:id="rId32"/>
    <sheet name="A2.5.2" sheetId="93" r:id="rId33"/>
    <sheet name="A2.5.2 continued" sheetId="122" r:id="rId34"/>
    <sheet name="A2.5.3" sheetId="97" r:id="rId35"/>
    <sheet name="A2.5.3 continued" sheetId="123" r:id="rId36"/>
    <sheet name="A2.5.4" sheetId="102" r:id="rId37"/>
    <sheet name="A2.5.4 continued" sheetId="124" r:id="rId38"/>
    <sheet name="A2.6.1" sheetId="89" r:id="rId39"/>
    <sheet name="A2.6.2" sheetId="105" r:id="rId40"/>
    <sheet name="A2.6.2 continued" sheetId="135" r:id="rId41"/>
    <sheet name="A2.6.3" sheetId="100" r:id="rId42"/>
    <sheet name="A2.6.3 continued" sheetId="133" r:id="rId43"/>
    <sheet name="A2.6.4" sheetId="137" r:id="rId44"/>
    <sheet name="A2.6.4 continued" sheetId="138" r:id="rId45"/>
    <sheet name="A2.7.1" sheetId="87" r:id="rId46"/>
    <sheet name="A2.7.2" sheetId="112" r:id="rId47"/>
    <sheet name="A2.7.2 continued" sheetId="125" r:id="rId48"/>
    <sheet name="A2.7.3" sheetId="118" r:id="rId49"/>
    <sheet name="A2.7.3 continued" sheetId="126" r:id="rId50"/>
    <sheet name="A2.7.4" sheetId="113" r:id="rId51"/>
    <sheet name="A2.7.4 continued" sheetId="127" r:id="rId52"/>
    <sheet name="A2.7.5" sheetId="114" r:id="rId53"/>
    <sheet name="A2.7.5 continued" sheetId="128" r:id="rId54"/>
    <sheet name="A2.7.6" sheetId="104" r:id="rId55"/>
    <sheet name="A2.7.6 continued" sheetId="129" r:id="rId56"/>
    <sheet name="A2.7.7" sheetId="110" r:id="rId57"/>
    <sheet name="A2.7.7 continued" sheetId="130" r:id="rId58"/>
    <sheet name="A2.7.8" sheetId="131" r:id="rId59"/>
    <sheet name="A2.7.8 continued" sheetId="132" r:id="rId60"/>
    <sheet name="A2.7.9" sheetId="186" r:id="rId61"/>
    <sheet name="A2.7.10" sheetId="192" r:id="rId62"/>
    <sheet name="A2.7.11" sheetId="188" r:id="rId63"/>
    <sheet name="A2.7.12" sheetId="190" r:id="rId64"/>
  </sheets>
  <definedNames>
    <definedName name="__AGE07">#REF!</definedName>
    <definedName name="_AMO_RefreshMultipleList" hidden="1">"'296899469 426988102 362274166 589584065 285770244'"</definedName>
    <definedName name="_AMO_XmlVersion" hidden="1">"'1'"</definedName>
    <definedName name="_xlnm._FilterDatabase" localSheetId="8" hidden="1">'Fig 2.1'!#REF!</definedName>
    <definedName name="dhnaohdo">#REF!</definedName>
    <definedName name="_xlnm.Print_Area" localSheetId="1">'2.1'!$B$1:$L$19</definedName>
    <definedName name="_xlnm.Print_Area" localSheetId="2">'2.2'!$B$1:$J$28</definedName>
    <definedName name="_xlnm.Print_Area" localSheetId="3">'2.3'!$B$1:$J$17</definedName>
    <definedName name="_xlnm.Print_Area" localSheetId="4">'2.4'!$B$1:$I$13</definedName>
    <definedName name="_xlnm.Print_Area" localSheetId="5">'2.5'!$B$1:$I$8</definedName>
    <definedName name="_xlnm.Print_Area" localSheetId="6">'2.6'!$B$1:$H$20</definedName>
    <definedName name="_xlnm.Print_Area" localSheetId="7">'2.7'!$B$1:$G$21</definedName>
    <definedName name="_xlnm.Print_Area" localSheetId="17">A2.1.1!$B$1:$P$35</definedName>
    <definedName name="_xlnm.Print_Area" localSheetId="18">'A2.1.1 continued'!$B$1:$P$35</definedName>
    <definedName name="_xlnm.Print_Area" localSheetId="19">A2.1.2!$B$1:$P$35</definedName>
    <definedName name="_xlnm.Print_Area" localSheetId="20">'A2.1.2 continued'!$B$1:$P$35</definedName>
    <definedName name="_xlnm.Print_Area" localSheetId="21">A2.1.3!$B$1:$P$26</definedName>
    <definedName name="_xlnm.Print_Area" localSheetId="22">A2.1.4!$B$1:$P$22</definedName>
    <definedName name="_xlnm.Print_Area" localSheetId="23">A2.1.5!$B$1:$P$10</definedName>
    <definedName name="_xlnm.Print_Area" localSheetId="24">A2.1.6!$B$1:$P$29</definedName>
    <definedName name="_xlnm.Print_Area" localSheetId="25">A2.2.1!$B$1:$L$22</definedName>
    <definedName name="_xlnm.Print_Area" localSheetId="26">A2.3.1!$B$1:$P$41</definedName>
    <definedName name="_xlnm.Print_Area" localSheetId="27">'A2.3.1 continued'!$B$1:$P$39</definedName>
    <definedName name="_xlnm.Print_Area" localSheetId="28">A2.3.2!$B$1:$P$41</definedName>
    <definedName name="_xlnm.Print_Area" localSheetId="29">A2.4.1!$B$1:$P$49</definedName>
    <definedName name="_xlnm.Print_Area" localSheetId="30">'A2.4.1 continued'!$B$1:$P$38</definedName>
    <definedName name="_xlnm.Print_Area" localSheetId="31">A2.5.1!$B$1:$L$36</definedName>
    <definedName name="_xlnm.Print_Area" localSheetId="32">A2.5.2!$B$1:$L$29</definedName>
    <definedName name="_xlnm.Print_Area" localSheetId="33">'A2.5.2 continued'!$B$1:$L$29</definedName>
    <definedName name="_xlnm.Print_Area" localSheetId="34">A2.5.3!$B$1:$L$29</definedName>
    <definedName name="_xlnm.Print_Area" localSheetId="35">'A2.5.3 continued'!$B$1:$L$29</definedName>
    <definedName name="_xlnm.Print_Area" localSheetId="36">A2.5.4!$B$1:$L$30</definedName>
    <definedName name="_xlnm.Print_Area" localSheetId="37">'A2.5.4 continued'!$B$1:$L$29</definedName>
    <definedName name="_xlnm.Print_Area" localSheetId="38">A2.6.1!$B$1:$L$35</definedName>
    <definedName name="_xlnm.Print_Area" localSheetId="39">A2.6.2!$B$1:$L$30</definedName>
    <definedName name="_xlnm.Print_Area" localSheetId="40">'A2.6.2 continued'!$B$1:$L$29</definedName>
    <definedName name="_xlnm.Print_Area" localSheetId="41">A2.6.3!$B$1:$L$29</definedName>
    <definedName name="_xlnm.Print_Area" localSheetId="42">'A2.6.3 continued'!$B$1:$L$29</definedName>
    <definedName name="_xlnm.Print_Area" localSheetId="43">A2.6.4!$B$1:$L$29</definedName>
    <definedName name="_xlnm.Print_Area" localSheetId="44">'A2.6.4 continued'!$B$1:$L$29</definedName>
    <definedName name="_xlnm.Print_Area" localSheetId="45">A2.7.1!$B$1:$L$37</definedName>
    <definedName name="_xlnm.Print_Area" localSheetId="61">A2.7.10!$B$1:$L$25</definedName>
    <definedName name="_xlnm.Print_Area" localSheetId="62">A2.7.11!$B$1:$L$25</definedName>
    <definedName name="_xlnm.Print_Area" localSheetId="63">A2.7.12!$B$1:$L$27</definedName>
    <definedName name="_xlnm.Print_Area" localSheetId="46">A2.7.2!$B$1:$L$29</definedName>
    <definedName name="_xlnm.Print_Area" localSheetId="47">'A2.7.2 continued'!$B$1:$L$29</definedName>
    <definedName name="_xlnm.Print_Area" localSheetId="48">A2.7.3!$B$1:$L$29</definedName>
    <definedName name="_xlnm.Print_Area" localSheetId="49">'A2.7.3 continued'!$B$1:$L$29</definedName>
    <definedName name="_xlnm.Print_Area" localSheetId="50">A2.7.4!$B$1:$L$29</definedName>
    <definedName name="_xlnm.Print_Area" localSheetId="51">'A2.7.4 continued'!$B$1:$L$29</definedName>
    <definedName name="_xlnm.Print_Area" localSheetId="52">A2.7.5!$B$1:$L$29</definedName>
    <definedName name="_xlnm.Print_Area" localSheetId="53">'A2.7.5 continued'!$B$1:$L$29</definedName>
    <definedName name="_xlnm.Print_Area" localSheetId="54">A2.7.6!$B$1:$L$29</definedName>
    <definedName name="_xlnm.Print_Area" localSheetId="55">'A2.7.6 continued'!$B$1:$L$29</definedName>
    <definedName name="_xlnm.Print_Area" localSheetId="56">A2.7.7!$B$1:$L$29</definedName>
    <definedName name="_xlnm.Print_Area" localSheetId="57">'A2.7.7 continued'!$B$1:$L$29</definedName>
    <definedName name="_xlnm.Print_Area" localSheetId="58">A2.7.8!$B$1:$L$29</definedName>
    <definedName name="_xlnm.Print_Area" localSheetId="59">'A2.7.8 continued'!$B$1:$L$29</definedName>
    <definedName name="_xlnm.Print_Area" localSheetId="60">A2.7.9!$B$1:$L$25</definedName>
    <definedName name="_xlnm.Print_Area" localSheetId="0">CONTENTS!$A$1:$B$50</definedName>
    <definedName name="_xlnm.Print_Area" localSheetId="8">'Fig 2.1'!$B$1:$I$21</definedName>
    <definedName name="_xlnm.Print_Area" localSheetId="9">'Fig 2.2'!$B$1:$I$20</definedName>
    <definedName name="_xlnm.Print_Area" localSheetId="10">'Fig 2.3'!$B$1:$R$30</definedName>
    <definedName name="_xlnm.Print_Area" localSheetId="11">'Fig 2.4'!$B$1:$I$22</definedName>
    <definedName name="_xlnm.Print_Area" localSheetId="12">'Fig 2.5'!$B$1:$I$22</definedName>
    <definedName name="_xlnm.Print_Area" localSheetId="13">'Fig 2.6'!$B$1:$I$22</definedName>
    <definedName name="_xlnm.Print_Area" localSheetId="14">'Fig 2.7'!$B$1:$I$22</definedName>
    <definedName name="_xlnm.Print_Area" localSheetId="15">'Fig 2.8'!$B$1:$I$22</definedName>
    <definedName name="_xlnm.Print_Area" localSheetId="16">'Fig 2.9'!$B$1:$I$22</definedName>
    <definedName name="SAPBEXdnldView" hidden="1">"47QF1XF9JCPHJDJVUDDWCYZ91"</definedName>
    <definedName name="SAPBEXrevision" hidden="1">2</definedName>
    <definedName name="SAPBEXsysID" hidden="1">"BWP"</definedName>
    <definedName name="SAPBEXwbID" hidden="1">"BYMA3KWAW0FAZYAOQJJWYMREK"</definedName>
    <definedName name="SASApp_GDPDATA_DISCREPANCY_TABLE">#REF!</definedName>
    <definedName name="SASApp_GDPDATA_SUPPLY_TABLE_FIRST">#REF!</definedName>
    <definedName name="SASApp_GDPDATA_SUPPLY_TABLE_SECOND">#REF!</definedName>
    <definedName name="SASApp_GDPDATA_USE_TABLE_FIRST">#REF!</definedName>
    <definedName name="SASApp_GDPDATA_USE_TABLE_SECOND">#REF!</definedName>
    <definedName name="TaxesList" localSheetId="28">#REF!</definedName>
    <definedName name="TaxesList" localSheetId="15">#REF!</definedName>
    <definedName name="TaxesList">#REF!</definedName>
    <definedName name="TaxTypes">#REF!</definedName>
    <definedName name="yes">#REF!</definedName>
  </definedNames>
  <calcPr calcId="144525"/>
</workbook>
</file>

<file path=xl/calcChain.xml><?xml version="1.0" encoding="utf-8"?>
<calcChain xmlns="http://schemas.openxmlformats.org/spreadsheetml/2006/main">
  <c r="D44" i="162" l="1"/>
  <c r="D45" i="162"/>
  <c r="D46" i="162"/>
  <c r="D47" i="162"/>
  <c r="D48" i="162"/>
  <c r="D49" i="162"/>
  <c r="D50" i="162"/>
  <c r="D51" i="162"/>
  <c r="D52" i="162"/>
  <c r="D53" i="162"/>
  <c r="D54" i="162"/>
  <c r="D55" i="162"/>
  <c r="D56" i="162"/>
  <c r="D57" i="162"/>
  <c r="D58" i="162"/>
  <c r="D59" i="162"/>
  <c r="D60" i="162"/>
  <c r="D61" i="162"/>
  <c r="D62" i="162"/>
  <c r="D63" i="162"/>
  <c r="D64" i="162"/>
  <c r="D65" i="162"/>
  <c r="D66" i="162"/>
  <c r="D67" i="162"/>
  <c r="D68" i="162"/>
  <c r="D69" i="162"/>
  <c r="D72" i="162"/>
  <c r="D73" i="162"/>
  <c r="D74" i="162"/>
  <c r="D77" i="162"/>
  <c r="D70" i="162" l="1"/>
  <c r="B17" i="144" l="1"/>
  <c r="B50" i="156"/>
  <c r="B49" i="156"/>
  <c r="B41" i="156"/>
  <c r="B40" i="156"/>
  <c r="B45" i="156"/>
  <c r="B42" i="156"/>
  <c r="B46" i="156"/>
  <c r="B48" i="156"/>
  <c r="B43" i="156"/>
  <c r="B44" i="156"/>
  <c r="B47" i="156"/>
  <c r="B29" i="144"/>
  <c r="P15" i="194"/>
  <c r="O15" i="194"/>
  <c r="N15" i="194"/>
  <c r="M15" i="194"/>
  <c r="L15" i="194"/>
  <c r="K15" i="194"/>
  <c r="J15" i="194"/>
  <c r="I15" i="194"/>
  <c r="H15" i="194"/>
  <c r="G15" i="194"/>
  <c r="F15" i="194"/>
  <c r="E15" i="194"/>
  <c r="P14" i="194"/>
  <c r="O14" i="194"/>
  <c r="N14" i="194"/>
  <c r="M14" i="194"/>
  <c r="L14" i="194"/>
  <c r="K14" i="194"/>
  <c r="J14" i="194"/>
  <c r="I14" i="194"/>
  <c r="H14" i="194"/>
  <c r="G14" i="194"/>
  <c r="F14" i="194"/>
  <c r="E14" i="194"/>
  <c r="P13" i="194"/>
  <c r="O13" i="194"/>
  <c r="N13" i="194"/>
  <c r="M13" i="194"/>
  <c r="L13" i="194"/>
  <c r="K13" i="194"/>
  <c r="J13" i="194"/>
  <c r="I13" i="194"/>
  <c r="H13" i="194"/>
  <c r="G13" i="194"/>
  <c r="F13" i="194"/>
  <c r="E13" i="194"/>
  <c r="P12" i="194"/>
  <c r="O12" i="194"/>
  <c r="N12" i="194"/>
  <c r="M12" i="194"/>
  <c r="L12" i="194"/>
  <c r="K12" i="194"/>
  <c r="J12" i="194"/>
  <c r="I12" i="194"/>
  <c r="H12" i="194"/>
  <c r="G12" i="194"/>
  <c r="F12" i="194"/>
  <c r="E12" i="194"/>
  <c r="P8" i="194"/>
  <c r="O8" i="194"/>
  <c r="N8" i="194"/>
  <c r="M8" i="194"/>
  <c r="L8" i="194"/>
  <c r="K8" i="194"/>
  <c r="J8" i="194"/>
  <c r="I8" i="194"/>
  <c r="H8" i="194"/>
  <c r="G8" i="194"/>
  <c r="F8" i="194"/>
  <c r="E8" i="194"/>
  <c r="K11" i="194"/>
  <c r="P10" i="194"/>
  <c r="O10" i="194"/>
  <c r="N10" i="194"/>
  <c r="M10" i="194"/>
  <c r="L10" i="194"/>
  <c r="K10" i="194"/>
  <c r="J10" i="194"/>
  <c r="I10" i="194"/>
  <c r="H10" i="194"/>
  <c r="G10" i="194"/>
  <c r="F10" i="194"/>
  <c r="P9" i="194"/>
  <c r="O9" i="194"/>
  <c r="N9" i="194"/>
  <c r="M9" i="194"/>
  <c r="L9" i="194"/>
  <c r="K9" i="194"/>
  <c r="J9" i="194"/>
  <c r="I9" i="194"/>
  <c r="H9" i="194"/>
  <c r="G9" i="194"/>
  <c r="F9" i="194"/>
  <c r="P6" i="194"/>
  <c r="O6" i="194"/>
  <c r="N6" i="194"/>
  <c r="M6" i="194"/>
  <c r="L6" i="194"/>
  <c r="K6" i="194"/>
  <c r="J6" i="194"/>
  <c r="I6" i="194"/>
  <c r="H6" i="194"/>
  <c r="G6" i="194"/>
  <c r="F6" i="194"/>
  <c r="P5" i="194"/>
  <c r="O5" i="194"/>
  <c r="N5" i="194"/>
  <c r="M5" i="194"/>
  <c r="L5" i="194"/>
  <c r="K5" i="194"/>
  <c r="J5" i="194"/>
  <c r="I5" i="194"/>
  <c r="H5" i="194"/>
  <c r="G5" i="194"/>
  <c r="F5" i="194"/>
  <c r="E10" i="194"/>
  <c r="E9" i="194"/>
  <c r="E6" i="194"/>
  <c r="E5" i="194"/>
  <c r="N7" i="194" l="1"/>
  <c r="N11" i="194"/>
  <c r="D46" i="156"/>
  <c r="D34" i="156" s="1"/>
  <c r="G11" i="194"/>
  <c r="O11" i="194"/>
  <c r="D44" i="156"/>
  <c r="D32" i="156" s="1"/>
  <c r="D48" i="156"/>
  <c r="D43" i="156"/>
  <c r="D31" i="156" s="1"/>
  <c r="D42" i="156"/>
  <c r="D30" i="156" s="1"/>
  <c r="D45" i="156"/>
  <c r="D33" i="156" s="1"/>
  <c r="D40" i="156"/>
  <c r="D28" i="156" s="1"/>
  <c r="D41" i="156"/>
  <c r="D29" i="156" s="1"/>
  <c r="E4" i="194"/>
  <c r="D47" i="156"/>
  <c r="I4" i="194"/>
  <c r="M4" i="194"/>
  <c r="F7" i="194"/>
  <c r="J7" i="194"/>
  <c r="H7" i="194"/>
  <c r="L7" i="194"/>
  <c r="G4" i="194"/>
  <c r="O4" i="194"/>
  <c r="K4" i="194"/>
  <c r="G7" i="194"/>
  <c r="K7" i="194"/>
  <c r="O7" i="194"/>
  <c r="I7" i="194"/>
  <c r="P7" i="194"/>
  <c r="E7" i="194"/>
  <c r="F4" i="194"/>
  <c r="J4" i="194"/>
  <c r="N4" i="194"/>
  <c r="M7" i="194"/>
  <c r="H4" i="194"/>
  <c r="L4" i="194"/>
  <c r="P4" i="194"/>
  <c r="H11" i="194"/>
  <c r="L11" i="194"/>
  <c r="I11" i="194"/>
  <c r="M11" i="194"/>
  <c r="J11" i="194"/>
  <c r="F11" i="194"/>
  <c r="P11" i="194"/>
  <c r="E11" i="194"/>
  <c r="P18" i="77" l="1"/>
  <c r="Q18" i="77"/>
  <c r="O18" i="77"/>
  <c r="G28" i="164"/>
  <c r="B19" i="144"/>
  <c r="B18" i="144"/>
  <c r="B16" i="144"/>
  <c r="B15" i="144"/>
  <c r="B14" i="144"/>
  <c r="B13" i="144"/>
  <c r="L42" i="87" l="1"/>
  <c r="L21" i="150"/>
  <c r="L33" i="190" l="1"/>
  <c r="L24" i="190" s="1"/>
  <c r="L25" i="190" s="1"/>
  <c r="L30" i="190" s="1"/>
  <c r="K33" i="190"/>
  <c r="K24" i="190" s="1"/>
  <c r="K25" i="190" s="1"/>
  <c r="K30" i="190" s="1"/>
  <c r="J33" i="190"/>
  <c r="J24" i="190" s="1"/>
  <c r="J25" i="190" s="1"/>
  <c r="J30" i="190" s="1"/>
  <c r="I33" i="190"/>
  <c r="I24" i="190" s="1"/>
  <c r="I25" i="190" s="1"/>
  <c r="I30" i="190" s="1"/>
  <c r="H33" i="190"/>
  <c r="H24" i="190" s="1"/>
  <c r="H25" i="190" s="1"/>
  <c r="H30" i="190" s="1"/>
  <c r="G33" i="190"/>
  <c r="G24" i="190" s="1"/>
  <c r="G25" i="190" s="1"/>
  <c r="G30" i="190" s="1"/>
  <c r="F33" i="190"/>
  <c r="F24" i="190" s="1"/>
  <c r="F25" i="190" s="1"/>
  <c r="F30" i="190" s="1"/>
  <c r="E33" i="190"/>
  <c r="E24" i="190" s="1"/>
  <c r="E25" i="190" s="1"/>
  <c r="E30" i="190" s="1"/>
  <c r="L33" i="188" l="1"/>
  <c r="K33" i="188"/>
  <c r="J33" i="188"/>
  <c r="J24" i="188" s="1"/>
  <c r="J25" i="188" s="1"/>
  <c r="J30" i="188" s="1"/>
  <c r="I33" i="188"/>
  <c r="I24" i="188" s="1"/>
  <c r="I25" i="188" s="1"/>
  <c r="I30" i="188" s="1"/>
  <c r="H33" i="188"/>
  <c r="H24" i="188" s="1"/>
  <c r="H25" i="188" s="1"/>
  <c r="H30" i="188" s="1"/>
  <c r="G33" i="188"/>
  <c r="G24" i="188" s="1"/>
  <c r="G25" i="188" s="1"/>
  <c r="G30" i="188" s="1"/>
  <c r="F33" i="188"/>
  <c r="F24" i="188" s="1"/>
  <c r="F25" i="188" s="1"/>
  <c r="F30" i="188" s="1"/>
  <c r="E33" i="188"/>
  <c r="E24" i="188" s="1"/>
  <c r="E25" i="188" s="1"/>
  <c r="E30" i="188" s="1"/>
  <c r="L24" i="188"/>
  <c r="L25" i="188" s="1"/>
  <c r="L30" i="188" s="1"/>
  <c r="K24" i="188"/>
  <c r="K25" i="188" s="1"/>
  <c r="K30" i="188" s="1"/>
  <c r="B50" i="144" l="1"/>
  <c r="B49" i="144"/>
  <c r="B48" i="144"/>
  <c r="B47" i="144"/>
  <c r="L32" i="192" l="1"/>
  <c r="L24" i="192" s="1"/>
  <c r="K32" i="192"/>
  <c r="K24" i="192" s="1"/>
  <c r="J32" i="192"/>
  <c r="J24" i="192" s="1"/>
  <c r="I32" i="192"/>
  <c r="I24" i="192" s="1"/>
  <c r="H32" i="192"/>
  <c r="H24" i="192" s="1"/>
  <c r="G32" i="192"/>
  <c r="F32" i="192"/>
  <c r="E32" i="192"/>
  <c r="E24" i="192" s="1"/>
  <c r="F24" i="192" l="1"/>
  <c r="F25" i="192" s="1"/>
  <c r="G24" i="192"/>
  <c r="G25" i="192" s="1"/>
  <c r="E25" i="192"/>
  <c r="I25" i="192"/>
  <c r="J25" i="192"/>
  <c r="K25" i="192"/>
  <c r="H25" i="192"/>
  <c r="L25" i="192"/>
  <c r="E33" i="186"/>
  <c r="E24" i="186" s="1"/>
  <c r="F33" i="186"/>
  <c r="F24" i="186" s="1"/>
  <c r="G33" i="186"/>
  <c r="G24" i="186" s="1"/>
  <c r="H33" i="186"/>
  <c r="H24" i="186" s="1"/>
  <c r="I33" i="186"/>
  <c r="I24" i="186" s="1"/>
  <c r="J33" i="186"/>
  <c r="J24" i="186" s="1"/>
  <c r="K33" i="186"/>
  <c r="K24" i="186" s="1"/>
  <c r="L33" i="186"/>
  <c r="L24" i="186" s="1"/>
  <c r="E25" i="186"/>
  <c r="F25" i="186"/>
  <c r="G25" i="186"/>
  <c r="H25" i="186"/>
  <c r="H30" i="186" s="1"/>
  <c r="I25" i="186"/>
  <c r="I30" i="186" s="1"/>
  <c r="J25" i="186"/>
  <c r="J30" i="186" s="1"/>
  <c r="K25" i="186"/>
  <c r="L25" i="186"/>
  <c r="L30" i="186" s="1"/>
  <c r="G30" i="192" l="1"/>
  <c r="F30" i="192"/>
  <c r="H30" i="192"/>
  <c r="E30" i="192"/>
  <c r="K30" i="192"/>
  <c r="J30" i="192"/>
  <c r="L30" i="192"/>
  <c r="I30" i="192"/>
  <c r="E30" i="186"/>
  <c r="F30" i="186"/>
  <c r="G30" i="186"/>
  <c r="K30" i="186"/>
  <c r="G50" i="164"/>
  <c r="K86" i="168"/>
  <c r="E42" i="87" l="1"/>
  <c r="G61" i="91"/>
  <c r="F61" i="91"/>
  <c r="E61" i="91"/>
  <c r="P50" i="82"/>
  <c r="O50" i="82"/>
  <c r="N50" i="82"/>
  <c r="M50" i="82"/>
  <c r="L50" i="82"/>
  <c r="K50" i="82"/>
  <c r="J50" i="82"/>
  <c r="I50" i="82"/>
  <c r="H50" i="82"/>
  <c r="E22" i="77"/>
  <c r="E5" i="77" s="1"/>
  <c r="F22" i="77"/>
  <c r="F5" i="77" s="1"/>
  <c r="G22" i="77"/>
  <c r="G5" i="77" s="1"/>
  <c r="H22" i="77"/>
  <c r="H5" i="77" s="1"/>
  <c r="I22" i="77"/>
  <c r="I5" i="77" s="1"/>
  <c r="J22" i="77"/>
  <c r="J5" i="77" s="1"/>
  <c r="K22" i="77"/>
  <c r="K5" i="77" s="1"/>
  <c r="L22" i="77"/>
  <c r="L5" i="77" s="1"/>
  <c r="M22" i="77"/>
  <c r="M5" i="77" s="1"/>
  <c r="N22" i="77"/>
  <c r="N5" i="77" s="1"/>
  <c r="D75" i="162" s="1"/>
  <c r="O22" i="77"/>
  <c r="O5" i="77" s="1"/>
  <c r="P22" i="77"/>
  <c r="P5" i="77" s="1"/>
  <c r="Q19" i="77" l="1"/>
  <c r="P19" i="77"/>
  <c r="P20" i="77" s="1"/>
  <c r="R20" i="77" s="1"/>
  <c r="O19" i="77"/>
  <c r="O20" i="77" s="1"/>
  <c r="Q20" i="77" s="1"/>
  <c r="E29" i="149"/>
  <c r="E7" i="149" s="1"/>
  <c r="F29" i="149"/>
  <c r="F7" i="149" s="1"/>
  <c r="G29" i="149"/>
  <c r="G7" i="149" s="1"/>
  <c r="H29" i="149"/>
  <c r="H7" i="149" s="1"/>
  <c r="I29" i="149"/>
  <c r="I7" i="149" s="1"/>
  <c r="J29" i="149"/>
  <c r="J7" i="149" s="1"/>
  <c r="K29" i="149"/>
  <c r="K7" i="149" s="1"/>
  <c r="L29" i="149"/>
  <c r="L7" i="149" s="1"/>
  <c r="M29" i="149"/>
  <c r="M7" i="149" s="1"/>
  <c r="N29" i="149"/>
  <c r="N7" i="149" s="1"/>
  <c r="O29" i="149"/>
  <c r="O7" i="149" s="1"/>
  <c r="P29" i="149"/>
  <c r="P7" i="149" s="1"/>
  <c r="E66" i="172"/>
  <c r="E67" i="172"/>
  <c r="E68" i="172"/>
  <c r="E69" i="172"/>
  <c r="E70" i="172"/>
  <c r="E71" i="172"/>
  <c r="E72" i="172"/>
  <c r="E73" i="172"/>
  <c r="L46" i="85" l="1"/>
  <c r="L13" i="85" s="1"/>
  <c r="K46" i="85"/>
  <c r="K13" i="85" s="1"/>
  <c r="J46" i="85"/>
  <c r="J13" i="85" s="1"/>
  <c r="I46" i="85"/>
  <c r="I13" i="85" s="1"/>
  <c r="H46" i="85"/>
  <c r="H13" i="85" s="1"/>
  <c r="G46" i="85"/>
  <c r="G13" i="85" s="1"/>
  <c r="F46" i="85"/>
  <c r="E46" i="85"/>
  <c r="E29" i="125" l="1"/>
  <c r="I26" i="125"/>
  <c r="I23" i="125"/>
  <c r="E21" i="125"/>
  <c r="E19" i="125"/>
  <c r="I18" i="125"/>
  <c r="I16" i="125"/>
  <c r="I15" i="125"/>
  <c r="I13" i="125"/>
  <c r="E13" i="125"/>
  <c r="E11" i="125"/>
  <c r="I10" i="125"/>
  <c r="I8" i="125"/>
  <c r="I7" i="125"/>
  <c r="I5" i="125"/>
  <c r="E5" i="125"/>
  <c r="E29" i="112"/>
  <c r="E28" i="125" s="1"/>
  <c r="F29" i="112"/>
  <c r="F15" i="125" s="1"/>
  <c r="G29" i="112"/>
  <c r="G29" i="125" s="1"/>
  <c r="H29" i="112"/>
  <c r="H29" i="125" s="1"/>
  <c r="I29" i="112"/>
  <c r="I29" i="125" s="1"/>
  <c r="J29" i="112"/>
  <c r="J25" i="125" s="1"/>
  <c r="K29" i="112"/>
  <c r="K29" i="125" s="1"/>
  <c r="L29" i="112"/>
  <c r="L29" i="125" s="1"/>
  <c r="B34" i="159"/>
  <c r="B33" i="159"/>
  <c r="D34" i="159"/>
  <c r="D33" i="159"/>
  <c r="D31" i="159"/>
  <c r="D30" i="159"/>
  <c r="B31" i="159"/>
  <c r="B30" i="159"/>
  <c r="B32" i="159"/>
  <c r="B29" i="159"/>
  <c r="D32" i="159"/>
  <c r="D29" i="159"/>
  <c r="E17" i="89"/>
  <c r="G17" i="89"/>
  <c r="I6" i="125" l="1"/>
  <c r="E9" i="125"/>
  <c r="I11" i="125"/>
  <c r="I14" i="125"/>
  <c r="E17" i="125"/>
  <c r="I19" i="125"/>
  <c r="I22" i="125"/>
  <c r="E25" i="125"/>
  <c r="I27" i="125"/>
  <c r="E7" i="125"/>
  <c r="I9" i="125"/>
  <c r="I12" i="125"/>
  <c r="E15" i="125"/>
  <c r="I17" i="125"/>
  <c r="I20" i="125"/>
  <c r="E23" i="125"/>
  <c r="I25" i="125"/>
  <c r="I28" i="125"/>
  <c r="I21" i="125"/>
  <c r="I24" i="125"/>
  <c r="E27" i="125"/>
  <c r="E6" i="125"/>
  <c r="E8" i="125"/>
  <c r="E10" i="125"/>
  <c r="E12" i="125"/>
  <c r="E14" i="125"/>
  <c r="E16" i="125"/>
  <c r="E18" i="125"/>
  <c r="E20" i="125"/>
  <c r="E22" i="125"/>
  <c r="E24" i="125"/>
  <c r="E26" i="125"/>
  <c r="J5" i="125"/>
  <c r="F6" i="125"/>
  <c r="F7" i="125"/>
  <c r="F8" i="125"/>
  <c r="F9" i="125"/>
  <c r="F10" i="125"/>
  <c r="F11" i="125"/>
  <c r="J11" i="125"/>
  <c r="J12" i="125"/>
  <c r="J13" i="125"/>
  <c r="J14" i="125"/>
  <c r="J15" i="125"/>
  <c r="F16" i="125"/>
  <c r="F17" i="125"/>
  <c r="F18" i="125"/>
  <c r="F19" i="125"/>
  <c r="F20" i="125"/>
  <c r="F21" i="125"/>
  <c r="J21" i="125"/>
  <c r="F22" i="125"/>
  <c r="J22" i="125"/>
  <c r="F23" i="125"/>
  <c r="J23" i="125"/>
  <c r="F24" i="125"/>
  <c r="J24" i="125"/>
  <c r="F25" i="125"/>
  <c r="F26" i="125"/>
  <c r="J26" i="125"/>
  <c r="F27" i="125"/>
  <c r="J27" i="125"/>
  <c r="F28" i="125"/>
  <c r="J28" i="125"/>
  <c r="F29" i="125"/>
  <c r="J29" i="125"/>
  <c r="G5" i="125"/>
  <c r="K5" i="125"/>
  <c r="G6" i="125"/>
  <c r="K6" i="125"/>
  <c r="G7" i="125"/>
  <c r="K7" i="125"/>
  <c r="G8" i="125"/>
  <c r="K8" i="125"/>
  <c r="G9" i="125"/>
  <c r="K9" i="125"/>
  <c r="G10" i="125"/>
  <c r="K10" i="125"/>
  <c r="G11" i="125"/>
  <c r="K11" i="125"/>
  <c r="G12" i="125"/>
  <c r="K12" i="125"/>
  <c r="G13" i="125"/>
  <c r="K13" i="125"/>
  <c r="G14" i="125"/>
  <c r="K14" i="125"/>
  <c r="G15" i="125"/>
  <c r="K15" i="125"/>
  <c r="G16" i="125"/>
  <c r="K16" i="125"/>
  <c r="G17" i="125"/>
  <c r="K17" i="125"/>
  <c r="G18" i="125"/>
  <c r="K18" i="125"/>
  <c r="G19" i="125"/>
  <c r="K19" i="125"/>
  <c r="G20" i="125"/>
  <c r="K20" i="125"/>
  <c r="G21" i="125"/>
  <c r="K21" i="125"/>
  <c r="G22" i="125"/>
  <c r="K22" i="125"/>
  <c r="G23" i="125"/>
  <c r="K23" i="125"/>
  <c r="G24" i="125"/>
  <c r="K24" i="125"/>
  <c r="G25" i="125"/>
  <c r="K25" i="125"/>
  <c r="G26" i="125"/>
  <c r="K26" i="125"/>
  <c r="G27" i="125"/>
  <c r="K27" i="125"/>
  <c r="G28" i="125"/>
  <c r="K28" i="125"/>
  <c r="F5" i="125"/>
  <c r="J6" i="125"/>
  <c r="J7" i="125"/>
  <c r="J8" i="125"/>
  <c r="J9" i="125"/>
  <c r="J10" i="125"/>
  <c r="F12" i="125"/>
  <c r="F13" i="125"/>
  <c r="F14" i="125"/>
  <c r="J16" i="125"/>
  <c r="J17" i="125"/>
  <c r="J18" i="125"/>
  <c r="J19" i="125"/>
  <c r="J20" i="125"/>
  <c r="H5" i="125"/>
  <c r="L5" i="125"/>
  <c r="H6" i="125"/>
  <c r="L6" i="125"/>
  <c r="H7" i="125"/>
  <c r="L7" i="125"/>
  <c r="H8" i="125"/>
  <c r="L8" i="125"/>
  <c r="H9" i="125"/>
  <c r="L9" i="125"/>
  <c r="H10" i="125"/>
  <c r="L10" i="125"/>
  <c r="H11" i="125"/>
  <c r="L11" i="125"/>
  <c r="H12" i="125"/>
  <c r="L12" i="125"/>
  <c r="H13" i="125"/>
  <c r="L13" i="125"/>
  <c r="H14" i="125"/>
  <c r="L14" i="125"/>
  <c r="H15" i="125"/>
  <c r="L15" i="125"/>
  <c r="H16" i="125"/>
  <c r="L16" i="125"/>
  <c r="H17" i="125"/>
  <c r="L17" i="125"/>
  <c r="H18" i="125"/>
  <c r="L18" i="125"/>
  <c r="H19" i="125"/>
  <c r="L19" i="125"/>
  <c r="H20" i="125"/>
  <c r="L20" i="125"/>
  <c r="H21" i="125"/>
  <c r="L21" i="125"/>
  <c r="H22" i="125"/>
  <c r="L22" i="125"/>
  <c r="H23" i="125"/>
  <c r="L23" i="125"/>
  <c r="H24" i="125"/>
  <c r="L24" i="125"/>
  <c r="H25" i="125"/>
  <c r="L25" i="125"/>
  <c r="H26" i="125"/>
  <c r="L26" i="125"/>
  <c r="H27" i="125"/>
  <c r="L27" i="125"/>
  <c r="H28" i="125"/>
  <c r="L28" i="125"/>
  <c r="E60" i="91"/>
  <c r="F60" i="91"/>
  <c r="G60" i="91"/>
  <c r="P38" i="82" l="1"/>
  <c r="P16" i="194" s="1"/>
  <c r="O38" i="82"/>
  <c r="O16" i="194" s="1"/>
  <c r="N38" i="82"/>
  <c r="N16" i="194" s="1"/>
  <c r="M38" i="82"/>
  <c r="M16" i="194" s="1"/>
  <c r="L38" i="82"/>
  <c r="L16" i="194" s="1"/>
  <c r="K38" i="82"/>
  <c r="K16" i="194" s="1"/>
  <c r="J38" i="82"/>
  <c r="J16" i="194" s="1"/>
  <c r="I38" i="82"/>
  <c r="I16" i="194" s="1"/>
  <c r="H38" i="82"/>
  <c r="H16" i="194" s="1"/>
  <c r="I17" i="194" l="1"/>
  <c r="I48" i="194"/>
  <c r="M17" i="194"/>
  <c r="M31" i="194" s="1"/>
  <c r="J17" i="194"/>
  <c r="N17" i="194"/>
  <c r="N31" i="194" s="1"/>
  <c r="K17" i="194"/>
  <c r="O17" i="194"/>
  <c r="O31" i="194" s="1"/>
  <c r="O48" i="194"/>
  <c r="H17" i="194"/>
  <c r="H31" i="194" s="1"/>
  <c r="L17" i="194"/>
  <c r="L48" i="194"/>
  <c r="D49" i="156"/>
  <c r="P17" i="194"/>
  <c r="L39" i="82"/>
  <c r="L37" i="83" s="1"/>
  <c r="O39" i="82"/>
  <c r="O39" i="83" s="1"/>
  <c r="I39" i="82"/>
  <c r="I38" i="83" s="1"/>
  <c r="L28" i="83"/>
  <c r="I12" i="83"/>
  <c r="L6" i="83"/>
  <c r="O8" i="83"/>
  <c r="O16" i="83"/>
  <c r="I11" i="83"/>
  <c r="I39" i="83"/>
  <c r="O22" i="83"/>
  <c r="O28" i="83"/>
  <c r="O32" i="83"/>
  <c r="O9" i="83"/>
  <c r="O25" i="83"/>
  <c r="O29" i="83"/>
  <c r="O7" i="83"/>
  <c r="O23" i="83"/>
  <c r="O27" i="83"/>
  <c r="L33" i="83"/>
  <c r="I18" i="83"/>
  <c r="I22" i="83"/>
  <c r="I60" i="91"/>
  <c r="I38" i="91" s="1"/>
  <c r="J60" i="91"/>
  <c r="J38" i="91" s="1"/>
  <c r="K60" i="91"/>
  <c r="K38" i="91" s="1"/>
  <c r="L60" i="91"/>
  <c r="L38" i="91" s="1"/>
  <c r="M60" i="91"/>
  <c r="M38" i="91" s="1"/>
  <c r="N60" i="91"/>
  <c r="N38" i="91" s="1"/>
  <c r="O60" i="91"/>
  <c r="O38" i="91" s="1"/>
  <c r="P60" i="91"/>
  <c r="P38" i="91" s="1"/>
  <c r="H60" i="91"/>
  <c r="H38" i="91" s="1"/>
  <c r="I25" i="83" l="1"/>
  <c r="I8" i="83"/>
  <c r="L12" i="83"/>
  <c r="H32" i="194"/>
  <c r="H20" i="194"/>
  <c r="H23" i="194"/>
  <c r="H27" i="194"/>
  <c r="H28" i="194"/>
  <c r="H29" i="194"/>
  <c r="H30" i="194"/>
  <c r="H21" i="194"/>
  <c r="H24" i="194"/>
  <c r="H25" i="194"/>
  <c r="H19" i="194"/>
  <c r="H22" i="194"/>
  <c r="H26" i="194"/>
  <c r="L47" i="194"/>
  <c r="K32" i="194"/>
  <c r="K20" i="194"/>
  <c r="K23" i="194"/>
  <c r="K27" i="194"/>
  <c r="K28" i="194"/>
  <c r="K26" i="194"/>
  <c r="K24" i="194"/>
  <c r="K21" i="194"/>
  <c r="K30" i="194"/>
  <c r="K25" i="194"/>
  <c r="K29" i="194"/>
  <c r="K19" i="194"/>
  <c r="K22" i="194"/>
  <c r="J32" i="194"/>
  <c r="J24" i="194"/>
  <c r="J29" i="194"/>
  <c r="J21" i="194"/>
  <c r="J27" i="194"/>
  <c r="J28" i="194"/>
  <c r="J25" i="194"/>
  <c r="J23" i="194"/>
  <c r="J30" i="194"/>
  <c r="J20" i="194"/>
  <c r="J22" i="194"/>
  <c r="J26" i="194"/>
  <c r="J19" i="194"/>
  <c r="I47" i="194"/>
  <c r="L23" i="83"/>
  <c r="D50" i="156"/>
  <c r="D36" i="156" s="1"/>
  <c r="D35" i="156" s="1"/>
  <c r="P32" i="194"/>
  <c r="P23" i="194"/>
  <c r="P27" i="194"/>
  <c r="P28" i="194"/>
  <c r="P29" i="194"/>
  <c r="P30" i="194"/>
  <c r="P21" i="194"/>
  <c r="P24" i="194"/>
  <c r="P25" i="194"/>
  <c r="P20" i="194"/>
  <c r="P26" i="194"/>
  <c r="P19" i="194"/>
  <c r="P22" i="194"/>
  <c r="L32" i="194"/>
  <c r="L25" i="194"/>
  <c r="L20" i="194"/>
  <c r="L23" i="194"/>
  <c r="L27" i="194"/>
  <c r="L28" i="194"/>
  <c r="L29" i="194"/>
  <c r="L30" i="194"/>
  <c r="L21" i="194"/>
  <c r="L24" i="194"/>
  <c r="L26" i="194"/>
  <c r="L19" i="194"/>
  <c r="L22" i="194"/>
  <c r="O47" i="194"/>
  <c r="K31" i="194"/>
  <c r="J31" i="194"/>
  <c r="I32" i="194"/>
  <c r="I23" i="194"/>
  <c r="I30" i="194"/>
  <c r="I21" i="194"/>
  <c r="I24" i="194"/>
  <c r="I29" i="194"/>
  <c r="I20" i="194"/>
  <c r="I25" i="194"/>
  <c r="I28" i="194"/>
  <c r="I27" i="194"/>
  <c r="I22" i="194"/>
  <c r="I26" i="194"/>
  <c r="I19" i="194"/>
  <c r="P31" i="194"/>
  <c r="L31" i="194"/>
  <c r="O32" i="194"/>
  <c r="O25" i="194"/>
  <c r="O29" i="194"/>
  <c r="O23" i="194"/>
  <c r="O28" i="194"/>
  <c r="O20" i="194"/>
  <c r="O24" i="194"/>
  <c r="O27" i="194"/>
  <c r="O21" i="194"/>
  <c r="O30" i="194"/>
  <c r="O22" i="194"/>
  <c r="O26" i="194"/>
  <c r="O19" i="194"/>
  <c r="N32" i="194"/>
  <c r="N30" i="194"/>
  <c r="N20" i="194"/>
  <c r="N22" i="194"/>
  <c r="N24" i="194"/>
  <c r="N29" i="194"/>
  <c r="N21" i="194"/>
  <c r="N28" i="194"/>
  <c r="N25" i="194"/>
  <c r="N23" i="194"/>
  <c r="N27" i="194"/>
  <c r="N26" i="194"/>
  <c r="N19" i="194"/>
  <c r="M32" i="194"/>
  <c r="M27" i="194"/>
  <c r="M23" i="194"/>
  <c r="M30" i="194"/>
  <c r="M24" i="194"/>
  <c r="M29" i="194"/>
  <c r="M20" i="194"/>
  <c r="M25" i="194"/>
  <c r="M21" i="194"/>
  <c r="M28" i="194"/>
  <c r="M22" i="194"/>
  <c r="M26" i="194"/>
  <c r="M19" i="194"/>
  <c r="I31" i="194"/>
  <c r="L32" i="83"/>
  <c r="L20" i="83"/>
  <c r="L15" i="83"/>
  <c r="L30" i="83"/>
  <c r="L21" i="83"/>
  <c r="L4" i="83"/>
  <c r="L17" i="83"/>
  <c r="L27" i="83"/>
  <c r="L24" i="83"/>
  <c r="F50" i="82"/>
  <c r="F38" i="82" s="1"/>
  <c r="F16" i="194" s="1"/>
  <c r="I36" i="83"/>
  <c r="L5" i="83"/>
  <c r="L11" i="83"/>
  <c r="I7" i="83"/>
  <c r="L34" i="83"/>
  <c r="L18" i="83"/>
  <c r="I34" i="83"/>
  <c r="I14" i="83"/>
  <c r="L29" i="83"/>
  <c r="L13" i="83"/>
  <c r="I32" i="83"/>
  <c r="L22" i="83"/>
  <c r="I29" i="83"/>
  <c r="I33" i="83"/>
  <c r="I9" i="83"/>
  <c r="L14" i="83"/>
  <c r="L26" i="83"/>
  <c r="L39" i="83"/>
  <c r="I37" i="83"/>
  <c r="L10" i="83"/>
  <c r="I30" i="83"/>
  <c r="I6" i="83"/>
  <c r="L25" i="83"/>
  <c r="L9" i="83"/>
  <c r="O11" i="83"/>
  <c r="O13" i="83"/>
  <c r="O38" i="83"/>
  <c r="I21" i="83"/>
  <c r="L38" i="83"/>
  <c r="L16" i="83"/>
  <c r="I24" i="83"/>
  <c r="I28" i="83"/>
  <c r="L35" i="83"/>
  <c r="L7" i="83"/>
  <c r="L19" i="83"/>
  <c r="L31" i="83"/>
  <c r="I15" i="83"/>
  <c r="L8" i="83"/>
  <c r="L36" i="83"/>
  <c r="O35" i="83"/>
  <c r="O19" i="83"/>
  <c r="O37" i="83"/>
  <c r="O21" i="83"/>
  <c r="O5" i="83"/>
  <c r="O24" i="83"/>
  <c r="O12" i="83"/>
  <c r="O18" i="83"/>
  <c r="O26" i="83"/>
  <c r="O34" i="83"/>
  <c r="I26" i="83"/>
  <c r="I10" i="83"/>
  <c r="O31" i="83"/>
  <c r="O15" i="83"/>
  <c r="O33" i="83"/>
  <c r="O17" i="83"/>
  <c r="O36" i="83"/>
  <c r="O20" i="83"/>
  <c r="O4" i="83"/>
  <c r="I16" i="83"/>
  <c r="O30" i="83"/>
  <c r="I19" i="83"/>
  <c r="O14" i="83"/>
  <c r="I17" i="83"/>
  <c r="O10" i="83"/>
  <c r="I4" i="83"/>
  <c r="I31" i="83"/>
  <c r="O6" i="83"/>
  <c r="I27" i="83"/>
  <c r="I5" i="83"/>
  <c r="I35" i="83"/>
  <c r="I13" i="83"/>
  <c r="I23" i="83"/>
  <c r="I20" i="83"/>
  <c r="L45" i="83" l="1"/>
  <c r="F48" i="194"/>
  <c r="F17" i="194"/>
  <c r="F39" i="82"/>
  <c r="B42" i="182"/>
  <c r="B43" i="182"/>
  <c r="D36" i="182"/>
  <c r="B36" i="182"/>
  <c r="D47" i="182"/>
  <c r="B47" i="182"/>
  <c r="D46" i="182"/>
  <c r="B46" i="182"/>
  <c r="D45" i="182"/>
  <c r="B45" i="182"/>
  <c r="D40" i="182"/>
  <c r="B40" i="182"/>
  <c r="D38" i="182"/>
  <c r="B38" i="182"/>
  <c r="D44" i="182"/>
  <c r="B44" i="182"/>
  <c r="D41" i="182"/>
  <c r="D29" i="182" s="1"/>
  <c r="B41" i="182"/>
  <c r="B29" i="182" s="1"/>
  <c r="D39" i="182"/>
  <c r="D30" i="182" s="1"/>
  <c r="B39" i="182"/>
  <c r="B30" i="182" s="1"/>
  <c r="B37" i="182"/>
  <c r="B28" i="182" s="1"/>
  <c r="D37" i="182"/>
  <c r="D28" i="182" s="1"/>
  <c r="B48" i="182"/>
  <c r="E17" i="85"/>
  <c r="G17" i="85"/>
  <c r="E43" i="85"/>
  <c r="F17" i="85"/>
  <c r="F32" i="194" l="1"/>
  <c r="F21" i="194"/>
  <c r="F27" i="194"/>
  <c r="F28" i="194"/>
  <c r="F25" i="194"/>
  <c r="F23" i="194"/>
  <c r="F30" i="194"/>
  <c r="F20" i="194"/>
  <c r="F24" i="194"/>
  <c r="F29" i="194"/>
  <c r="F19" i="194"/>
  <c r="F22" i="194"/>
  <c r="F26" i="194"/>
  <c r="F47" i="194"/>
  <c r="F31" i="194"/>
  <c r="F4" i="83"/>
  <c r="F33" i="83"/>
  <c r="F11" i="83"/>
  <c r="F18" i="83"/>
  <c r="F25" i="83"/>
  <c r="F39" i="83"/>
  <c r="F38" i="83"/>
  <c r="F13" i="83"/>
  <c r="F28" i="83"/>
  <c r="F7" i="83"/>
  <c r="F21" i="83"/>
  <c r="F37" i="83"/>
  <c r="F17" i="83"/>
  <c r="F16" i="83"/>
  <c r="F15" i="83"/>
  <c r="F24" i="83"/>
  <c r="F8" i="83"/>
  <c r="F36" i="83"/>
  <c r="F19" i="83"/>
  <c r="F10" i="83"/>
  <c r="F22" i="83"/>
  <c r="F34" i="83"/>
  <c r="F23" i="83"/>
  <c r="F20" i="83"/>
  <c r="F12" i="83"/>
  <c r="F9" i="83"/>
  <c r="F5" i="83"/>
  <c r="F6" i="83"/>
  <c r="F35" i="83"/>
  <c r="F30" i="83"/>
  <c r="F27" i="83"/>
  <c r="F14" i="83"/>
  <c r="F29" i="83"/>
  <c r="F31" i="83"/>
  <c r="F32" i="83"/>
  <c r="F26" i="83"/>
  <c r="K39" i="82" l="1"/>
  <c r="K47" i="194" s="1"/>
  <c r="P39" i="82"/>
  <c r="P47" i="194" s="1"/>
  <c r="J39" i="82"/>
  <c r="J47" i="194" s="1"/>
  <c r="N39" i="82"/>
  <c r="N47" i="194" s="1"/>
  <c r="H39" i="82"/>
  <c r="H47" i="194" s="1"/>
  <c r="M39" i="82"/>
  <c r="M47" i="194" s="1"/>
  <c r="P34" i="172" l="1"/>
  <c r="O34" i="172"/>
  <c r="N34" i="172"/>
  <c r="M34" i="172"/>
  <c r="L34" i="172"/>
  <c r="K34" i="172"/>
  <c r="J34" i="172"/>
  <c r="I34" i="172"/>
  <c r="H34" i="172"/>
  <c r="G34" i="172"/>
  <c r="F34" i="172"/>
  <c r="P33" i="172"/>
  <c r="O33" i="172"/>
  <c r="N33" i="172"/>
  <c r="M33" i="172"/>
  <c r="L33" i="172"/>
  <c r="K33" i="172"/>
  <c r="J33" i="172"/>
  <c r="I33" i="172"/>
  <c r="H33" i="172"/>
  <c r="G33" i="172"/>
  <c r="F33" i="172"/>
  <c r="E34" i="172"/>
  <c r="E33" i="172"/>
  <c r="G54" i="172" l="1"/>
  <c r="P55" i="172"/>
  <c r="M55" i="172"/>
  <c r="M54" i="172"/>
  <c r="J55" i="172"/>
  <c r="P54" i="172"/>
  <c r="J54" i="172"/>
  <c r="G55" i="172"/>
  <c r="P34" i="46" l="1"/>
  <c r="O34" i="46"/>
  <c r="N34" i="46"/>
  <c r="M34" i="46"/>
  <c r="L34" i="46"/>
  <c r="K34" i="46"/>
  <c r="J34" i="46"/>
  <c r="I34" i="46"/>
  <c r="H34" i="46"/>
  <c r="G34" i="46"/>
  <c r="F34" i="46"/>
  <c r="E34" i="46"/>
  <c r="E62" i="172" s="1"/>
  <c r="P33" i="46"/>
  <c r="O33" i="46"/>
  <c r="N33" i="46"/>
  <c r="M33" i="46"/>
  <c r="L33" i="46"/>
  <c r="K33" i="46"/>
  <c r="J33" i="46"/>
  <c r="I33" i="46"/>
  <c r="H33" i="46"/>
  <c r="G33" i="46"/>
  <c r="F33" i="46"/>
  <c r="E33" i="46"/>
  <c r="E61" i="172" s="1"/>
  <c r="G7" i="165"/>
  <c r="J6" i="165"/>
  <c r="H30" i="165" s="1"/>
  <c r="I10" i="165"/>
  <c r="J5" i="165" l="1"/>
  <c r="G6" i="165"/>
  <c r="E10" i="165"/>
  <c r="I6" i="165"/>
  <c r="E8" i="165"/>
  <c r="G10" i="165"/>
  <c r="G8" i="165"/>
  <c r="I8" i="165"/>
  <c r="E7" i="165"/>
  <c r="I7" i="165"/>
  <c r="J8" i="165"/>
  <c r="H32" i="165" s="1"/>
  <c r="E6" i="165"/>
  <c r="J7" i="165"/>
  <c r="H31" i="165" s="1"/>
  <c r="J10" i="165"/>
  <c r="H34" i="165" s="1"/>
  <c r="C76" i="168" l="1"/>
  <c r="C75" i="168"/>
  <c r="C74" i="168"/>
  <c r="C73" i="168"/>
  <c r="C72" i="168"/>
  <c r="C60" i="168"/>
  <c r="C59" i="168"/>
  <c r="C58" i="168"/>
  <c r="C57" i="168"/>
  <c r="C56" i="168"/>
  <c r="C55" i="168"/>
  <c r="C54" i="168"/>
  <c r="C53" i="168"/>
  <c r="E41" i="168"/>
  <c r="E6" i="168" l="1"/>
  <c r="H6" i="168" s="1"/>
  <c r="E8" i="168"/>
  <c r="H8" i="168" s="1"/>
  <c r="E9" i="168"/>
  <c r="H9" i="168" s="1"/>
  <c r="E10" i="168"/>
  <c r="H10" i="168" s="1"/>
  <c r="E7" i="168"/>
  <c r="H7" i="168" s="1"/>
  <c r="D6" i="168"/>
  <c r="D23" i="168"/>
  <c r="D19" i="168"/>
  <c r="D15" i="168"/>
  <c r="D11" i="168"/>
  <c r="D7" i="168"/>
  <c r="D21" i="168"/>
  <c r="D13" i="168"/>
  <c r="D20" i="168"/>
  <c r="D16" i="168"/>
  <c r="D8" i="168"/>
  <c r="G8" i="168" s="1"/>
  <c r="J8" i="168" s="1"/>
  <c r="D22" i="168"/>
  <c r="D18" i="168"/>
  <c r="D14" i="168"/>
  <c r="D10" i="168"/>
  <c r="G10" i="168" s="1"/>
  <c r="J10" i="168" s="1"/>
  <c r="D17" i="168"/>
  <c r="D9" i="168"/>
  <c r="G9" i="168" s="1"/>
  <c r="J9" i="168" s="1"/>
  <c r="D24" i="168"/>
  <c r="D12" i="168"/>
  <c r="L17" i="139"/>
  <c r="G7" i="168" l="1"/>
  <c r="J7" i="168" s="1"/>
  <c r="G6" i="168"/>
  <c r="J6" i="168" s="1"/>
  <c r="D24" i="175"/>
  <c r="D23" i="175"/>
  <c r="D22" i="175"/>
  <c r="D25" i="175"/>
  <c r="G20" i="175"/>
  <c r="G19" i="175"/>
  <c r="G18" i="175"/>
  <c r="G25" i="175"/>
  <c r="G24" i="175"/>
  <c r="G23" i="175"/>
  <c r="G22" i="175"/>
  <c r="E9" i="175" l="1"/>
  <c r="H17" i="165"/>
  <c r="J14" i="165"/>
  <c r="H14" i="165"/>
  <c r="F17" i="165"/>
  <c r="J9" i="165"/>
  <c r="F15" i="165"/>
  <c r="F14" i="165"/>
  <c r="F13" i="165"/>
  <c r="I9" i="165"/>
  <c r="G9" i="165"/>
  <c r="E9" i="165"/>
  <c r="F16" i="165" l="1"/>
  <c r="H33" i="165"/>
  <c r="J15" i="165"/>
  <c r="D15" i="165"/>
  <c r="H13" i="165"/>
  <c r="H15" i="165"/>
  <c r="H16" i="165"/>
  <c r="J13" i="165"/>
  <c r="J16" i="165"/>
  <c r="J17" i="165"/>
  <c r="D13" i="165"/>
  <c r="D14" i="165"/>
  <c r="D16" i="165"/>
  <c r="D17" i="165"/>
  <c r="B9" i="144"/>
  <c r="B46" i="144" l="1"/>
  <c r="B45" i="144"/>
  <c r="B44" i="144"/>
  <c r="B43" i="144"/>
  <c r="B42" i="144"/>
  <c r="B41" i="144"/>
  <c r="B40" i="144"/>
  <c r="B39" i="144"/>
  <c r="B38" i="144"/>
  <c r="B37" i="144"/>
  <c r="B36" i="144"/>
  <c r="B35" i="144"/>
  <c r="B34" i="144"/>
  <c r="B33" i="144"/>
  <c r="B32" i="144"/>
  <c r="B31" i="144"/>
  <c r="B30" i="144"/>
  <c r="B28" i="144"/>
  <c r="B27" i="144"/>
  <c r="B26" i="144"/>
  <c r="B25" i="144"/>
  <c r="B24" i="144"/>
  <c r="B23" i="144"/>
  <c r="B22" i="144"/>
  <c r="B21" i="144"/>
  <c r="B12" i="144"/>
  <c r="B11" i="144"/>
  <c r="B8" i="144"/>
  <c r="B7" i="144"/>
  <c r="B6" i="144"/>
  <c r="B4" i="144"/>
  <c r="B3" i="144"/>
  <c r="B5" i="144"/>
  <c r="L29" i="102" l="1"/>
  <c r="K29" i="102"/>
  <c r="J29" i="102"/>
  <c r="I29" i="102"/>
  <c r="H29" i="102"/>
  <c r="G29" i="102"/>
  <c r="G34" i="102" s="1"/>
  <c r="F29" i="102"/>
  <c r="F34" i="102" s="1"/>
  <c r="E29" i="102"/>
  <c r="E34" i="102" s="1"/>
  <c r="L29" i="105"/>
  <c r="K29" i="105"/>
  <c r="J29" i="105"/>
  <c r="I29" i="105"/>
  <c r="H29" i="105"/>
  <c r="G29" i="105"/>
  <c r="G34" i="105" s="1"/>
  <c r="F29" i="105"/>
  <c r="E29" i="105"/>
  <c r="E34" i="105" s="1"/>
  <c r="L29" i="131" l="1"/>
  <c r="K29" i="131"/>
  <c r="J29" i="131"/>
  <c r="I29" i="131"/>
  <c r="H29" i="131"/>
  <c r="G29" i="131"/>
  <c r="F29" i="131"/>
  <c r="E29" i="131"/>
  <c r="E34" i="131" l="1"/>
  <c r="E29" i="132"/>
  <c r="E28" i="132"/>
  <c r="E27" i="132"/>
  <c r="E26" i="132"/>
  <c r="E25" i="132"/>
  <c r="E24" i="132"/>
  <c r="E23" i="132"/>
  <c r="E22" i="132"/>
  <c r="E21" i="132"/>
  <c r="E20" i="132"/>
  <c r="E19" i="132"/>
  <c r="E18" i="132"/>
  <c r="E17" i="132"/>
  <c r="E16" i="132"/>
  <c r="E15" i="132"/>
  <c r="E14" i="132"/>
  <c r="E13" i="132"/>
  <c r="E12" i="132"/>
  <c r="E11" i="132"/>
  <c r="E10" i="132"/>
  <c r="E9" i="132"/>
  <c r="E8" i="132"/>
  <c r="E7" i="132"/>
  <c r="E6" i="132"/>
  <c r="E5" i="132"/>
  <c r="I34" i="131"/>
  <c r="I29" i="132"/>
  <c r="I28" i="132"/>
  <c r="I27" i="132"/>
  <c r="I26" i="132"/>
  <c r="I25" i="132"/>
  <c r="I24" i="132"/>
  <c r="I23" i="132"/>
  <c r="I22" i="132"/>
  <c r="I21" i="132"/>
  <c r="I20" i="132"/>
  <c r="I19" i="132"/>
  <c r="I18" i="132"/>
  <c r="I17" i="132"/>
  <c r="I16" i="132"/>
  <c r="I15" i="132"/>
  <c r="I14" i="132"/>
  <c r="I13" i="132"/>
  <c r="I12" i="132"/>
  <c r="I11" i="132"/>
  <c r="I10" i="132"/>
  <c r="I9" i="132"/>
  <c r="I8" i="132"/>
  <c r="I7" i="132"/>
  <c r="I6" i="132"/>
  <c r="I5" i="132"/>
  <c r="F34" i="131"/>
  <c r="F29" i="132"/>
  <c r="F28" i="132"/>
  <c r="F27" i="132"/>
  <c r="F26" i="132"/>
  <c r="F25" i="132"/>
  <c r="F24" i="132"/>
  <c r="F23" i="132"/>
  <c r="F22" i="132"/>
  <c r="F21" i="132"/>
  <c r="F20" i="132"/>
  <c r="F19" i="132"/>
  <c r="F18" i="132"/>
  <c r="F17" i="132"/>
  <c r="F16" i="132"/>
  <c r="F15" i="132"/>
  <c r="F14" i="132"/>
  <c r="F13" i="132"/>
  <c r="F12" i="132"/>
  <c r="F11" i="132"/>
  <c r="F10" i="132"/>
  <c r="F9" i="132"/>
  <c r="F8" i="132"/>
  <c r="F7" i="132"/>
  <c r="F6" i="132"/>
  <c r="F5" i="132"/>
  <c r="J34" i="131"/>
  <c r="J29" i="132"/>
  <c r="J28" i="132"/>
  <c r="J27" i="132"/>
  <c r="J26" i="132"/>
  <c r="J25" i="132"/>
  <c r="J24" i="132"/>
  <c r="J23" i="132"/>
  <c r="J22" i="132"/>
  <c r="J21" i="132"/>
  <c r="J20" i="132"/>
  <c r="J19" i="132"/>
  <c r="J18" i="132"/>
  <c r="J17" i="132"/>
  <c r="J16" i="132"/>
  <c r="J15" i="132"/>
  <c r="J14" i="132"/>
  <c r="J13" i="132"/>
  <c r="J12" i="132"/>
  <c r="J11" i="132"/>
  <c r="J10" i="132"/>
  <c r="J9" i="132"/>
  <c r="J8" i="132"/>
  <c r="J7" i="132"/>
  <c r="J6" i="132"/>
  <c r="J5" i="132"/>
  <c r="G34" i="131"/>
  <c r="G29" i="132"/>
  <c r="G28" i="132"/>
  <c r="G27" i="132"/>
  <c r="G26" i="132"/>
  <c r="G25" i="132"/>
  <c r="G24" i="132"/>
  <c r="G23" i="132"/>
  <c r="G22" i="132"/>
  <c r="G21" i="132"/>
  <c r="G20" i="132"/>
  <c r="G19" i="132"/>
  <c r="G18" i="132"/>
  <c r="G17" i="132"/>
  <c r="G16" i="132"/>
  <c r="G15" i="132"/>
  <c r="G14" i="132"/>
  <c r="G13" i="132"/>
  <c r="G12" i="132"/>
  <c r="G11" i="132"/>
  <c r="G10" i="132"/>
  <c r="G9" i="132"/>
  <c r="G8" i="132"/>
  <c r="G7" i="132"/>
  <c r="G6" i="132"/>
  <c r="G5" i="132"/>
  <c r="K34" i="131"/>
  <c r="K29" i="132"/>
  <c r="K28" i="132"/>
  <c r="K27" i="132"/>
  <c r="K26" i="132"/>
  <c r="K25" i="132"/>
  <c r="K24" i="132"/>
  <c r="K23" i="132"/>
  <c r="K22" i="132"/>
  <c r="K21" i="132"/>
  <c r="K20" i="132"/>
  <c r="K19" i="132"/>
  <c r="K18" i="132"/>
  <c r="K17" i="132"/>
  <c r="K16" i="132"/>
  <c r="K15" i="132"/>
  <c r="K14" i="132"/>
  <c r="K13" i="132"/>
  <c r="K12" i="132"/>
  <c r="K11" i="132"/>
  <c r="K10" i="132"/>
  <c r="K9" i="132"/>
  <c r="K8" i="132"/>
  <c r="K7" i="132"/>
  <c r="K6" i="132"/>
  <c r="K5" i="132"/>
  <c r="H34" i="131"/>
  <c r="H28" i="132"/>
  <c r="H16" i="132"/>
  <c r="H9" i="132"/>
  <c r="H6" i="132"/>
  <c r="H29" i="132"/>
  <c r="H27" i="132"/>
  <c r="H25" i="132"/>
  <c r="H23" i="132"/>
  <c r="H21" i="132"/>
  <c r="H19" i="132"/>
  <c r="H17" i="132"/>
  <c r="H15" i="132"/>
  <c r="H13" i="132"/>
  <c r="H26" i="132"/>
  <c r="H24" i="132"/>
  <c r="H22" i="132"/>
  <c r="H20" i="132"/>
  <c r="H18" i="132"/>
  <c r="H14" i="132"/>
  <c r="H12" i="132"/>
  <c r="H11" i="132"/>
  <c r="H10" i="132"/>
  <c r="H8" i="132"/>
  <c r="H7" i="132"/>
  <c r="H5" i="132"/>
  <c r="L34" i="131"/>
  <c r="L29" i="132"/>
  <c r="L27" i="132"/>
  <c r="L25" i="132"/>
  <c r="L23" i="132"/>
  <c r="L21" i="132"/>
  <c r="L19" i="132"/>
  <c r="L17" i="132"/>
  <c r="L15" i="132"/>
  <c r="L13" i="132"/>
  <c r="L11" i="132"/>
  <c r="L10" i="132"/>
  <c r="L9" i="132"/>
  <c r="L8" i="132"/>
  <c r="L7" i="132"/>
  <c r="L6" i="132"/>
  <c r="L5" i="132"/>
  <c r="L28" i="132"/>
  <c r="L26" i="132"/>
  <c r="L24" i="132"/>
  <c r="L22" i="132"/>
  <c r="L20" i="132"/>
  <c r="L18" i="132"/>
  <c r="L16" i="132"/>
  <c r="L14" i="132"/>
  <c r="L12" i="132"/>
  <c r="E73" i="162"/>
  <c r="F73" i="162"/>
  <c r="E77" i="162"/>
  <c r="F77" i="162"/>
  <c r="E34" i="155"/>
  <c r="E33" i="155"/>
  <c r="E8" i="175" l="1"/>
  <c r="E7" i="175"/>
  <c r="E6" i="175"/>
  <c r="E10" i="178"/>
  <c r="D20" i="178" s="1"/>
  <c r="G10" i="178"/>
  <c r="D10" i="178"/>
  <c r="E9" i="178"/>
  <c r="D19" i="178" s="1"/>
  <c r="G9" i="178"/>
  <c r="D9" i="178"/>
  <c r="P32" i="172"/>
  <c r="O32" i="172"/>
  <c r="G8" i="178" s="1"/>
  <c r="N32" i="172"/>
  <c r="D8" i="178" s="1"/>
  <c r="M32" i="172"/>
  <c r="M53" i="172" s="1"/>
  <c r="L32" i="172"/>
  <c r="K32" i="172"/>
  <c r="J32" i="172"/>
  <c r="I32" i="172"/>
  <c r="H32" i="172"/>
  <c r="G32" i="172"/>
  <c r="F32" i="172"/>
  <c r="E32" i="172"/>
  <c r="P31" i="172"/>
  <c r="O31" i="172"/>
  <c r="G7" i="178" s="1"/>
  <c r="N31" i="172"/>
  <c r="D7" i="178" s="1"/>
  <c r="M31" i="172"/>
  <c r="M52" i="172" s="1"/>
  <c r="L31" i="172"/>
  <c r="K31" i="172"/>
  <c r="J31" i="172"/>
  <c r="I31" i="172"/>
  <c r="H31" i="172"/>
  <c r="G31" i="172"/>
  <c r="F31" i="172"/>
  <c r="E31" i="172"/>
  <c r="P30" i="172"/>
  <c r="O30" i="172"/>
  <c r="N30" i="172"/>
  <c r="M30" i="172"/>
  <c r="M51" i="172" s="1"/>
  <c r="L30" i="172"/>
  <c r="L35" i="172" s="1"/>
  <c r="K30" i="172"/>
  <c r="K35" i="172" s="1"/>
  <c r="J30" i="172"/>
  <c r="I30" i="172"/>
  <c r="I35" i="172" s="1"/>
  <c r="H30" i="172"/>
  <c r="H35" i="172" s="1"/>
  <c r="G30" i="172"/>
  <c r="F30" i="172"/>
  <c r="F35" i="172" s="1"/>
  <c r="E30" i="172"/>
  <c r="J51" i="172" l="1"/>
  <c r="J52" i="172"/>
  <c r="J53" i="172"/>
  <c r="G51" i="172"/>
  <c r="G52" i="172"/>
  <c r="G53" i="172"/>
  <c r="E6" i="178"/>
  <c r="P51" i="172"/>
  <c r="E7" i="178"/>
  <c r="P52" i="172"/>
  <c r="E8" i="178"/>
  <c r="D18" i="178" s="1"/>
  <c r="P53" i="172"/>
  <c r="E35" i="172"/>
  <c r="F44" i="172" s="1"/>
  <c r="F10" i="178"/>
  <c r="E20" i="178" s="1"/>
  <c r="F9" i="178"/>
  <c r="E19" i="178" s="1"/>
  <c r="N35" i="172"/>
  <c r="D6" i="178"/>
  <c r="D11" i="178" s="1"/>
  <c r="O35" i="172"/>
  <c r="G6" i="178"/>
  <c r="G11" i="178" s="1"/>
  <c r="G35" i="172"/>
  <c r="G56" i="172" s="1"/>
  <c r="M35" i="172"/>
  <c r="M56" i="172" s="1"/>
  <c r="J35" i="172"/>
  <c r="J56" i="172" s="1"/>
  <c r="P35" i="172"/>
  <c r="G21" i="175"/>
  <c r="I44" i="172"/>
  <c r="L44" i="172"/>
  <c r="F29" i="172"/>
  <c r="F31" i="173" s="1"/>
  <c r="H29" i="172"/>
  <c r="H31" i="173" s="1"/>
  <c r="J29" i="172"/>
  <c r="J4" i="173" s="1"/>
  <c r="L29" i="172"/>
  <c r="L4" i="173" s="1"/>
  <c r="N29" i="172"/>
  <c r="N31" i="173" s="1"/>
  <c r="P29" i="172"/>
  <c r="P4" i="173" s="1"/>
  <c r="E29" i="172"/>
  <c r="E32" i="173" s="1"/>
  <c r="G29" i="172"/>
  <c r="G30" i="173" s="1"/>
  <c r="I29" i="172"/>
  <c r="I4" i="173" s="1"/>
  <c r="K29" i="172"/>
  <c r="K32" i="173" s="1"/>
  <c r="M29" i="172"/>
  <c r="M4" i="173" s="1"/>
  <c r="O29" i="172"/>
  <c r="O31" i="173" s="1"/>
  <c r="P56" i="172" l="1"/>
  <c r="D16" i="178"/>
  <c r="F8" i="178"/>
  <c r="E18" i="178" s="1"/>
  <c r="F7" i="178"/>
  <c r="E17" i="178" s="1"/>
  <c r="G17" i="178" s="1"/>
  <c r="D17" i="178"/>
  <c r="E11" i="178"/>
  <c r="D21" i="178" s="1"/>
  <c r="G18" i="178"/>
  <c r="M44" i="172"/>
  <c r="M45" i="172" s="1"/>
  <c r="G19" i="178"/>
  <c r="P44" i="172"/>
  <c r="O44" i="172"/>
  <c r="G20" i="178"/>
  <c r="F20" i="178"/>
  <c r="J44" i="172"/>
  <c r="J45" i="172" s="1"/>
  <c r="F18" i="178"/>
  <c r="F19" i="178"/>
  <c r="F6" i="178"/>
  <c r="G44" i="172"/>
  <c r="G45" i="172" s="1"/>
  <c r="J34" i="173"/>
  <c r="J33" i="173"/>
  <c r="J32" i="173"/>
  <c r="J31" i="173"/>
  <c r="N30" i="173"/>
  <c r="J30" i="173"/>
  <c r="F30" i="173"/>
  <c r="G34" i="173"/>
  <c r="G33" i="173"/>
  <c r="G32" i="173"/>
  <c r="G31" i="173"/>
  <c r="M30" i="173"/>
  <c r="I30" i="173"/>
  <c r="E30" i="173"/>
  <c r="N28" i="173"/>
  <c r="J28" i="173"/>
  <c r="F28" i="173"/>
  <c r="N27" i="173"/>
  <c r="J27" i="173"/>
  <c r="F27" i="173"/>
  <c r="N26" i="173"/>
  <c r="J26" i="173"/>
  <c r="F26" i="173"/>
  <c r="N25" i="173"/>
  <c r="J25" i="173"/>
  <c r="F25" i="173"/>
  <c r="N24" i="173"/>
  <c r="J24" i="173"/>
  <c r="F24" i="173"/>
  <c r="N23" i="173"/>
  <c r="J23" i="173"/>
  <c r="F23" i="173"/>
  <c r="N22" i="173"/>
  <c r="J22" i="173"/>
  <c r="F22" i="173"/>
  <c r="N21" i="173"/>
  <c r="J21" i="173"/>
  <c r="F21" i="173"/>
  <c r="N20" i="173"/>
  <c r="J20" i="173"/>
  <c r="F20" i="173"/>
  <c r="N19" i="173"/>
  <c r="J19" i="173"/>
  <c r="F19" i="173"/>
  <c r="N18" i="173"/>
  <c r="J18" i="173"/>
  <c r="F18" i="173"/>
  <c r="N17" i="173"/>
  <c r="J17" i="173"/>
  <c r="F17" i="173"/>
  <c r="N16" i="173"/>
  <c r="J16" i="173"/>
  <c r="F16" i="173"/>
  <c r="N15" i="173"/>
  <c r="J15" i="173"/>
  <c r="F15" i="173"/>
  <c r="N14" i="173"/>
  <c r="J14" i="173"/>
  <c r="F14" i="173"/>
  <c r="N13" i="173"/>
  <c r="J13" i="173"/>
  <c r="F13" i="173"/>
  <c r="N12" i="173"/>
  <c r="J12" i="173"/>
  <c r="F12" i="173"/>
  <c r="N11" i="173"/>
  <c r="J11" i="173"/>
  <c r="F11" i="173"/>
  <c r="N10" i="173"/>
  <c r="J10" i="173"/>
  <c r="F10" i="173"/>
  <c r="N9" i="173"/>
  <c r="J9" i="173"/>
  <c r="F9" i="173"/>
  <c r="N8" i="173"/>
  <c r="J8" i="173"/>
  <c r="F8" i="173"/>
  <c r="N7" i="173"/>
  <c r="J7" i="173"/>
  <c r="F7" i="173"/>
  <c r="N6" i="173"/>
  <c r="J6" i="173"/>
  <c r="F6" i="173"/>
  <c r="N5" i="173"/>
  <c r="J5" i="173"/>
  <c r="F5" i="173"/>
  <c r="N4" i="173"/>
  <c r="F4" i="173"/>
  <c r="L34" i="173"/>
  <c r="F34" i="173"/>
  <c r="L33" i="173"/>
  <c r="F33" i="173"/>
  <c r="L32" i="173"/>
  <c r="F32" i="173"/>
  <c r="L31" i="173"/>
  <c r="I31" i="173"/>
  <c r="O28" i="173"/>
  <c r="K28" i="173"/>
  <c r="G28" i="173"/>
  <c r="O27" i="173"/>
  <c r="K27" i="173"/>
  <c r="G27" i="173"/>
  <c r="O26" i="173"/>
  <c r="K26" i="173"/>
  <c r="G26" i="173"/>
  <c r="O25" i="173"/>
  <c r="K25" i="173"/>
  <c r="G25" i="173"/>
  <c r="O24" i="173"/>
  <c r="K24" i="173"/>
  <c r="G24" i="173"/>
  <c r="O23" i="173"/>
  <c r="K23" i="173"/>
  <c r="G23" i="173"/>
  <c r="O22" i="173"/>
  <c r="K22" i="173"/>
  <c r="G22" i="173"/>
  <c r="O21" i="173"/>
  <c r="K21" i="173"/>
  <c r="G21" i="173"/>
  <c r="O20" i="173"/>
  <c r="K20" i="173"/>
  <c r="G20" i="173"/>
  <c r="O19" i="173"/>
  <c r="K19" i="173"/>
  <c r="G19" i="173"/>
  <c r="O18" i="173"/>
  <c r="K18" i="173"/>
  <c r="G18" i="173"/>
  <c r="O17" i="173"/>
  <c r="K17" i="173"/>
  <c r="G17" i="173"/>
  <c r="O16" i="173"/>
  <c r="K16" i="173"/>
  <c r="G16" i="173"/>
  <c r="O15" i="173"/>
  <c r="K15" i="173"/>
  <c r="G15" i="173"/>
  <c r="O14" i="173"/>
  <c r="K14" i="173"/>
  <c r="G14" i="173"/>
  <c r="O13" i="173"/>
  <c r="K13" i="173"/>
  <c r="G13" i="173"/>
  <c r="O12" i="173"/>
  <c r="K12" i="173"/>
  <c r="G12" i="173"/>
  <c r="O11" i="173"/>
  <c r="K11" i="173"/>
  <c r="G11" i="173"/>
  <c r="O10" i="173"/>
  <c r="K10" i="173"/>
  <c r="G10" i="173"/>
  <c r="O9" i="173"/>
  <c r="K9" i="173"/>
  <c r="G9" i="173"/>
  <c r="O8" i="173"/>
  <c r="K8" i="173"/>
  <c r="G8" i="173"/>
  <c r="O7" i="173"/>
  <c r="K7" i="173"/>
  <c r="G7" i="173"/>
  <c r="O6" i="173"/>
  <c r="K6" i="173"/>
  <c r="G6" i="173"/>
  <c r="O5" i="173"/>
  <c r="K5" i="173"/>
  <c r="G5" i="173"/>
  <c r="O4" i="173"/>
  <c r="K4" i="173"/>
  <c r="G4" i="173"/>
  <c r="O34" i="173"/>
  <c r="I34" i="173"/>
  <c r="O33" i="173"/>
  <c r="I33" i="173"/>
  <c r="O32" i="173"/>
  <c r="I32" i="173"/>
  <c r="K31" i="173"/>
  <c r="L47" i="172"/>
  <c r="I47" i="172"/>
  <c r="P34" i="173"/>
  <c r="P33" i="173"/>
  <c r="P32" i="173"/>
  <c r="P31" i="173"/>
  <c r="P30" i="173"/>
  <c r="L30" i="173"/>
  <c r="H30" i="173"/>
  <c r="M34" i="173"/>
  <c r="M33" i="173"/>
  <c r="M32" i="173"/>
  <c r="M31" i="173"/>
  <c r="O30" i="173"/>
  <c r="K30" i="173"/>
  <c r="P28" i="173"/>
  <c r="L28" i="173"/>
  <c r="H28" i="173"/>
  <c r="P27" i="173"/>
  <c r="L27" i="173"/>
  <c r="H27" i="173"/>
  <c r="P26" i="173"/>
  <c r="L26" i="173"/>
  <c r="H26" i="173"/>
  <c r="P25" i="173"/>
  <c r="L25" i="173"/>
  <c r="H25" i="173"/>
  <c r="P24" i="173"/>
  <c r="L24" i="173"/>
  <c r="H24" i="173"/>
  <c r="P23" i="173"/>
  <c r="L23" i="173"/>
  <c r="H23" i="173"/>
  <c r="P22" i="173"/>
  <c r="L22" i="173"/>
  <c r="H22" i="173"/>
  <c r="P21" i="173"/>
  <c r="L21" i="173"/>
  <c r="H21" i="173"/>
  <c r="P20" i="173"/>
  <c r="L20" i="173"/>
  <c r="H20" i="173"/>
  <c r="P19" i="173"/>
  <c r="L19" i="173"/>
  <c r="H19" i="173"/>
  <c r="P18" i="173"/>
  <c r="L18" i="173"/>
  <c r="H18" i="173"/>
  <c r="P17" i="173"/>
  <c r="L17" i="173"/>
  <c r="H17" i="173"/>
  <c r="P16" i="173"/>
  <c r="L16" i="173"/>
  <c r="H16" i="173"/>
  <c r="P15" i="173"/>
  <c r="L15" i="173"/>
  <c r="H15" i="173"/>
  <c r="P14" i="173"/>
  <c r="L14" i="173"/>
  <c r="H14" i="173"/>
  <c r="P13" i="173"/>
  <c r="L13" i="173"/>
  <c r="H13" i="173"/>
  <c r="P12" i="173"/>
  <c r="L12" i="173"/>
  <c r="H12" i="173"/>
  <c r="P11" i="173"/>
  <c r="L11" i="173"/>
  <c r="H11" i="173"/>
  <c r="P10" i="173"/>
  <c r="L10" i="173"/>
  <c r="H10" i="173"/>
  <c r="P9" i="173"/>
  <c r="L9" i="173"/>
  <c r="H9" i="173"/>
  <c r="P8" i="173"/>
  <c r="L8" i="173"/>
  <c r="H8" i="173"/>
  <c r="P7" i="173"/>
  <c r="L7" i="173"/>
  <c r="H7" i="173"/>
  <c r="P6" i="173"/>
  <c r="L6" i="173"/>
  <c r="H6" i="173"/>
  <c r="P5" i="173"/>
  <c r="L5" i="173"/>
  <c r="H5" i="173"/>
  <c r="H4" i="173"/>
  <c r="N34" i="173"/>
  <c r="H34" i="173"/>
  <c r="N33" i="173"/>
  <c r="H33" i="173"/>
  <c r="N32" i="173"/>
  <c r="H32" i="173"/>
  <c r="E31" i="173"/>
  <c r="M28" i="173"/>
  <c r="I28" i="173"/>
  <c r="E28" i="173"/>
  <c r="M27" i="173"/>
  <c r="I27" i="173"/>
  <c r="E27" i="173"/>
  <c r="M26" i="173"/>
  <c r="I26" i="173"/>
  <c r="E26" i="173"/>
  <c r="M25" i="173"/>
  <c r="I25" i="173"/>
  <c r="E25" i="173"/>
  <c r="M24" i="173"/>
  <c r="I24" i="173"/>
  <c r="E24" i="173"/>
  <c r="M23" i="173"/>
  <c r="I23" i="173"/>
  <c r="E23" i="173"/>
  <c r="M22" i="173"/>
  <c r="I22" i="173"/>
  <c r="E22" i="173"/>
  <c r="M21" i="173"/>
  <c r="I21" i="173"/>
  <c r="E21" i="173"/>
  <c r="M20" i="173"/>
  <c r="I20" i="173"/>
  <c r="E20" i="173"/>
  <c r="M19" i="173"/>
  <c r="I19" i="173"/>
  <c r="E19" i="173"/>
  <c r="M18" i="173"/>
  <c r="I18" i="173"/>
  <c r="E18" i="173"/>
  <c r="M17" i="173"/>
  <c r="I17" i="173"/>
  <c r="E17" i="173"/>
  <c r="M16" i="173"/>
  <c r="I16" i="173"/>
  <c r="E16" i="173"/>
  <c r="M15" i="173"/>
  <c r="I15" i="173"/>
  <c r="E15" i="173"/>
  <c r="M14" i="173"/>
  <c r="I14" i="173"/>
  <c r="E14" i="173"/>
  <c r="M13" i="173"/>
  <c r="I13" i="173"/>
  <c r="E13" i="173"/>
  <c r="M12" i="173"/>
  <c r="I12" i="173"/>
  <c r="E12" i="173"/>
  <c r="M11" i="173"/>
  <c r="I11" i="173"/>
  <c r="E11" i="173"/>
  <c r="M10" i="173"/>
  <c r="I10" i="173"/>
  <c r="E10" i="173"/>
  <c r="M9" i="173"/>
  <c r="I9" i="173"/>
  <c r="E9" i="173"/>
  <c r="M8" i="173"/>
  <c r="I8" i="173"/>
  <c r="E8" i="173"/>
  <c r="M7" i="173"/>
  <c r="I7" i="173"/>
  <c r="E7" i="173"/>
  <c r="M6" i="173"/>
  <c r="I6" i="173"/>
  <c r="E6" i="173"/>
  <c r="M5" i="173"/>
  <c r="I5" i="173"/>
  <c r="E5" i="173"/>
  <c r="E4" i="173"/>
  <c r="K34" i="173"/>
  <c r="E34" i="173"/>
  <c r="K33" i="173"/>
  <c r="E33" i="173"/>
  <c r="P47" i="172" l="1"/>
  <c r="F17" i="178"/>
  <c r="P45" i="172"/>
  <c r="M47" i="172"/>
  <c r="O47" i="172"/>
  <c r="J47" i="172"/>
  <c r="E16" i="178"/>
  <c r="G16" i="178" s="1"/>
  <c r="F11" i="178"/>
  <c r="E21" i="178" s="1"/>
  <c r="M29" i="173"/>
  <c r="P29" i="173"/>
  <c r="E29" i="173"/>
  <c r="I29" i="173"/>
  <c r="M42" i="173"/>
  <c r="M44" i="173"/>
  <c r="H29" i="173"/>
  <c r="L29" i="173"/>
  <c r="G29" i="173"/>
  <c r="O29" i="173"/>
  <c r="N29" i="173"/>
  <c r="J29" i="173"/>
  <c r="K43" i="173"/>
  <c r="K29" i="173"/>
  <c r="L42" i="173"/>
  <c r="L44" i="173"/>
  <c r="K42" i="173"/>
  <c r="K41" i="173"/>
  <c r="K44" i="173"/>
  <c r="F29" i="173"/>
  <c r="M43" i="173"/>
  <c r="L43" i="173"/>
  <c r="F16" i="178" l="1"/>
  <c r="G21" i="178"/>
  <c r="F21" i="178"/>
  <c r="M27" i="83" l="1"/>
  <c r="M31" i="83"/>
  <c r="M35" i="83"/>
  <c r="M25" i="83"/>
  <c r="M29" i="83"/>
  <c r="M33" i="83"/>
  <c r="M37" i="83"/>
  <c r="M26" i="83"/>
  <c r="M30" i="83"/>
  <c r="M34" i="83"/>
  <c r="M38" i="83"/>
  <c r="M28" i="83"/>
  <c r="M32" i="83"/>
  <c r="M36" i="83"/>
  <c r="K27" i="83"/>
  <c r="K31" i="83"/>
  <c r="K35" i="83"/>
  <c r="K28" i="83"/>
  <c r="K32" i="83"/>
  <c r="K36" i="83"/>
  <c r="K25" i="83"/>
  <c r="K29" i="83"/>
  <c r="K33" i="83"/>
  <c r="K37" i="83"/>
  <c r="K26" i="83"/>
  <c r="K30" i="83"/>
  <c r="K34" i="83"/>
  <c r="K38" i="83"/>
  <c r="J28" i="83"/>
  <c r="J32" i="83"/>
  <c r="J36" i="83"/>
  <c r="J25" i="83"/>
  <c r="J29" i="83"/>
  <c r="J33" i="83"/>
  <c r="J37" i="83"/>
  <c r="J26" i="83"/>
  <c r="J30" i="83"/>
  <c r="J34" i="83"/>
  <c r="J38" i="83"/>
  <c r="J27" i="83"/>
  <c r="J31" i="83"/>
  <c r="J35" i="83"/>
  <c r="H26" i="83"/>
  <c r="H28" i="83"/>
  <c r="H30" i="83"/>
  <c r="H32" i="83"/>
  <c r="H34" i="83"/>
  <c r="H36" i="83"/>
  <c r="H38" i="83"/>
  <c r="H37" i="83"/>
  <c r="H25" i="83"/>
  <c r="H27" i="83"/>
  <c r="H29" i="83"/>
  <c r="H31" i="83"/>
  <c r="H33" i="83"/>
  <c r="H35" i="83"/>
  <c r="E50" i="82" l="1"/>
  <c r="E38" i="82" s="1"/>
  <c r="E16" i="194" s="1"/>
  <c r="G50" i="82"/>
  <c r="G38" i="82" s="1"/>
  <c r="G16" i="194" s="1"/>
  <c r="E32" i="155"/>
  <c r="E30" i="155"/>
  <c r="E31" i="155"/>
  <c r="E28" i="155"/>
  <c r="G17" i="194" l="1"/>
  <c r="E17" i="194"/>
  <c r="E29" i="155"/>
  <c r="F45" i="177"/>
  <c r="E45" i="177"/>
  <c r="D45" i="177"/>
  <c r="C45" i="177"/>
  <c r="F44" i="177"/>
  <c r="E44" i="177"/>
  <c r="D44" i="177"/>
  <c r="C44" i="177"/>
  <c r="F43" i="177"/>
  <c r="E43" i="177"/>
  <c r="D43" i="177"/>
  <c r="C43" i="177"/>
  <c r="F42" i="177"/>
  <c r="E42" i="177"/>
  <c r="D42" i="177"/>
  <c r="C42" i="177"/>
  <c r="F41" i="177"/>
  <c r="E41" i="177"/>
  <c r="D41" i="177"/>
  <c r="C41" i="177"/>
  <c r="F40" i="177"/>
  <c r="E40" i="177"/>
  <c r="D40" i="177"/>
  <c r="C40" i="177"/>
  <c r="F38" i="177"/>
  <c r="E38" i="177"/>
  <c r="D38" i="177"/>
  <c r="C38" i="177"/>
  <c r="F37" i="177"/>
  <c r="E37" i="177"/>
  <c r="D37" i="177"/>
  <c r="C37" i="177"/>
  <c r="F74" i="162"/>
  <c r="E74" i="162"/>
  <c r="D38" i="162"/>
  <c r="D37" i="162"/>
  <c r="D36" i="162"/>
  <c r="D35" i="162"/>
  <c r="D34" i="162"/>
  <c r="D33" i="162"/>
  <c r="E32" i="194" l="1"/>
  <c r="E29" i="194"/>
  <c r="E25" i="194"/>
  <c r="E20" i="194"/>
  <c r="E28" i="194"/>
  <c r="E21" i="194"/>
  <c r="E27" i="194"/>
  <c r="E24" i="194"/>
  <c r="E23" i="194"/>
  <c r="E30" i="194"/>
  <c r="E19" i="194"/>
  <c r="E22" i="194"/>
  <c r="E26" i="194"/>
  <c r="E31" i="194"/>
  <c r="G32" i="194"/>
  <c r="G24" i="194"/>
  <c r="G20" i="194"/>
  <c r="G21" i="194"/>
  <c r="G30" i="194"/>
  <c r="G25" i="194"/>
  <c r="G29" i="194"/>
  <c r="G23" i="194"/>
  <c r="G27" i="194"/>
  <c r="G28" i="194"/>
  <c r="G26" i="194"/>
  <c r="G19" i="194"/>
  <c r="G22" i="194"/>
  <c r="G31" i="194"/>
  <c r="H74" i="162"/>
  <c r="D29" i="162"/>
  <c r="D32" i="162"/>
  <c r="D30" i="162"/>
  <c r="D31" i="162"/>
  <c r="G74" i="162"/>
  <c r="D40" i="162" l="1"/>
  <c r="I74" i="162"/>
  <c r="F43" i="164"/>
  <c r="J36" i="152" l="1"/>
  <c r="I36" i="152" s="1"/>
  <c r="M36" i="152" l="1"/>
  <c r="L36" i="152" s="1"/>
  <c r="P36" i="152"/>
  <c r="O36" i="152" l="1"/>
  <c r="F45" i="162"/>
  <c r="L17" i="85"/>
  <c r="L34" i="102" s="1"/>
  <c r="J17" i="85"/>
  <c r="J34" i="102" s="1"/>
  <c r="I17" i="85"/>
  <c r="I34" i="102" s="1"/>
  <c r="H17" i="85"/>
  <c r="H34" i="102" s="1"/>
  <c r="K17" i="85"/>
  <c r="K34" i="102" s="1"/>
  <c r="H26" i="164"/>
  <c r="I26" i="164" s="1"/>
  <c r="K85" i="168"/>
  <c r="K84" i="168"/>
  <c r="I79" i="168"/>
  <c r="B76" i="168"/>
  <c r="K76" i="168" s="1"/>
  <c r="B75" i="168"/>
  <c r="K75" i="168" s="1"/>
  <c r="B74" i="168"/>
  <c r="K74" i="168" s="1"/>
  <c r="B73" i="168"/>
  <c r="K73" i="168" s="1"/>
  <c r="G72" i="168"/>
  <c r="B72" i="168"/>
  <c r="K72" i="168" s="1"/>
  <c r="I60" i="168"/>
  <c r="I59" i="168"/>
  <c r="E11" i="168" l="1"/>
  <c r="H11" i="168" s="1"/>
  <c r="E17" i="168"/>
  <c r="H17" i="168" s="1"/>
  <c r="E20" i="168"/>
  <c r="H20" i="168" s="1"/>
  <c r="E14" i="168"/>
  <c r="H14" i="168" s="1"/>
  <c r="E22" i="168"/>
  <c r="H22" i="168" s="1"/>
  <c r="E21" i="168"/>
  <c r="H21" i="168" s="1"/>
  <c r="E13" i="168"/>
  <c r="H13" i="168" s="1"/>
  <c r="E16" i="168"/>
  <c r="H16" i="168" s="1"/>
  <c r="E19" i="168"/>
  <c r="H19" i="168" s="1"/>
  <c r="E18" i="168"/>
  <c r="H18" i="168" s="1"/>
  <c r="E24" i="168"/>
  <c r="H24" i="168" s="1"/>
  <c r="E12" i="168"/>
  <c r="H12" i="168" s="1"/>
  <c r="E15" i="168"/>
  <c r="H15" i="168" s="1"/>
  <c r="E23" i="168"/>
  <c r="H23" i="168" s="1"/>
  <c r="F18" i="168"/>
  <c r="I18" i="168" s="1"/>
  <c r="F17" i="168"/>
  <c r="I17" i="168" s="1"/>
  <c r="F11" i="168"/>
  <c r="I11" i="168" s="1"/>
  <c r="F19" i="168"/>
  <c r="I19" i="168" s="1"/>
  <c r="F23" i="168"/>
  <c r="I23" i="168" s="1"/>
  <c r="F22" i="168"/>
  <c r="I22" i="168" s="1"/>
  <c r="F10" i="168"/>
  <c r="I10" i="168" s="1"/>
  <c r="F9" i="168"/>
  <c r="I9" i="168" s="1"/>
  <c r="F14" i="168"/>
  <c r="I14" i="168" s="1"/>
  <c r="F13" i="168"/>
  <c r="I13" i="168" s="1"/>
  <c r="F8" i="168"/>
  <c r="I8" i="168" s="1"/>
  <c r="F20" i="168"/>
  <c r="I20" i="168" s="1"/>
  <c r="F16" i="168"/>
  <c r="I16" i="168" s="1"/>
  <c r="F15" i="168"/>
  <c r="I15" i="168" s="1"/>
  <c r="F21" i="168"/>
  <c r="I21" i="168" s="1"/>
  <c r="F7" i="168"/>
  <c r="I7" i="168" s="1"/>
  <c r="F6" i="168"/>
  <c r="I6" i="168" s="1"/>
  <c r="F12" i="168"/>
  <c r="I12" i="168" s="1"/>
  <c r="F24" i="168"/>
  <c r="I24" i="168" s="1"/>
  <c r="E45" i="162"/>
  <c r="J26" i="164"/>
  <c r="K26" i="164" s="1"/>
  <c r="G73" i="168"/>
  <c r="G74" i="168" l="1"/>
  <c r="G11" i="168"/>
  <c r="J11" i="168" s="1"/>
  <c r="I39" i="168"/>
  <c r="G75" i="168" l="1"/>
  <c r="G12" i="168"/>
  <c r="J12" i="168" s="1"/>
  <c r="F13" i="150"/>
  <c r="H13" i="150"/>
  <c r="I13" i="150"/>
  <c r="J13" i="150"/>
  <c r="K13" i="150"/>
  <c r="L13" i="150"/>
  <c r="L29" i="150" s="1"/>
  <c r="J21" i="150"/>
  <c r="H21" i="150"/>
  <c r="F21" i="150"/>
  <c r="F34" i="141"/>
  <c r="E34" i="141"/>
  <c r="D34" i="141"/>
  <c r="C34" i="141"/>
  <c r="G76" i="168" l="1"/>
  <c r="G13" i="168" s="1"/>
  <c r="J13" i="168" s="1"/>
  <c r="H12" i="165"/>
  <c r="D12" i="165"/>
  <c r="J12" i="165"/>
  <c r="F12" i="165"/>
  <c r="G21" i="168" l="1"/>
  <c r="J21" i="168" s="1"/>
  <c r="G17" i="168"/>
  <c r="J17" i="168" s="1"/>
  <c r="G19" i="168"/>
  <c r="J19" i="168" s="1"/>
  <c r="G15" i="168"/>
  <c r="J15" i="168" s="1"/>
  <c r="G22" i="168"/>
  <c r="J22" i="168" s="1"/>
  <c r="G24" i="168"/>
  <c r="J24" i="168" s="1"/>
  <c r="G20" i="168"/>
  <c r="J20" i="168" s="1"/>
  <c r="G16" i="168"/>
  <c r="J16" i="168" s="1"/>
  <c r="G23" i="168"/>
  <c r="J23" i="168" s="1"/>
  <c r="G18" i="168"/>
  <c r="J18" i="168" s="1"/>
  <c r="G14" i="168"/>
  <c r="J14" i="168" s="1"/>
  <c r="F42" i="164"/>
  <c r="F41" i="164"/>
  <c r="F40" i="164"/>
  <c r="F39" i="164"/>
  <c r="F38" i="164"/>
  <c r="F37" i="164"/>
  <c r="F36" i="164"/>
  <c r="F35" i="164"/>
  <c r="F34" i="164"/>
  <c r="F33" i="164"/>
  <c r="F32" i="164"/>
  <c r="F31" i="164"/>
  <c r="F30" i="164"/>
  <c r="F29" i="164"/>
  <c r="F28" i="164"/>
  <c r="G27" i="164"/>
  <c r="F27" i="164"/>
  <c r="G29" i="164" l="1"/>
  <c r="J27" i="164"/>
  <c r="K27" i="164" s="1"/>
  <c r="H27" i="164"/>
  <c r="I27" i="164" s="1"/>
  <c r="J29" i="164" l="1"/>
  <c r="K29" i="164" s="1"/>
  <c r="H29" i="164"/>
  <c r="I29" i="164" s="1"/>
  <c r="J28" i="164"/>
  <c r="K28" i="164" s="1"/>
  <c r="H28" i="164"/>
  <c r="I28" i="164" s="1"/>
  <c r="G30" i="164"/>
  <c r="H30" i="164" l="1"/>
  <c r="I30" i="164" s="1"/>
  <c r="J30" i="164"/>
  <c r="K30" i="164" s="1"/>
  <c r="G31" i="164"/>
  <c r="J31" i="164" l="1"/>
  <c r="K31" i="164" s="1"/>
  <c r="H31" i="164"/>
  <c r="I31" i="164" s="1"/>
  <c r="G32" i="164"/>
  <c r="J32" i="164" l="1"/>
  <c r="K32" i="164" s="1"/>
  <c r="H32" i="164"/>
  <c r="I32" i="164" s="1"/>
  <c r="G33" i="164"/>
  <c r="J33" i="164" l="1"/>
  <c r="K33" i="164" s="1"/>
  <c r="H33" i="164"/>
  <c r="I33" i="164" s="1"/>
  <c r="G34" i="164"/>
  <c r="J34" i="164" l="1"/>
  <c r="K34" i="164" s="1"/>
  <c r="H34" i="164"/>
  <c r="I34" i="164" s="1"/>
  <c r="G35" i="164"/>
  <c r="J35" i="164" l="1"/>
  <c r="K35" i="164" s="1"/>
  <c r="H35" i="164"/>
  <c r="I35" i="164" s="1"/>
  <c r="G36" i="164"/>
  <c r="J36" i="164" l="1"/>
  <c r="K36" i="164" s="1"/>
  <c r="H36" i="164"/>
  <c r="I36" i="164" s="1"/>
  <c r="G37" i="164"/>
  <c r="J37" i="164" l="1"/>
  <c r="K37" i="164" s="1"/>
  <c r="H37" i="164"/>
  <c r="I37" i="164" s="1"/>
  <c r="G38" i="164"/>
  <c r="J38" i="164" l="1"/>
  <c r="K38" i="164" s="1"/>
  <c r="H38" i="164"/>
  <c r="I38" i="164" s="1"/>
  <c r="G39" i="164"/>
  <c r="J39" i="164" l="1"/>
  <c r="K39" i="164" s="1"/>
  <c r="H39" i="164"/>
  <c r="I39" i="164" s="1"/>
  <c r="G40" i="164"/>
  <c r="J40" i="164" l="1"/>
  <c r="K40" i="164" s="1"/>
  <c r="H40" i="164"/>
  <c r="I40" i="164" s="1"/>
  <c r="G41" i="164"/>
  <c r="J41" i="164" l="1"/>
  <c r="K41" i="164" s="1"/>
  <c r="H41" i="164"/>
  <c r="I41" i="164" s="1"/>
  <c r="G42" i="164"/>
  <c r="J42" i="164" l="1"/>
  <c r="K42" i="164" s="1"/>
  <c r="G43" i="164"/>
  <c r="H42" i="164"/>
  <c r="I42" i="164" s="1"/>
  <c r="J43" i="164" l="1"/>
  <c r="K43" i="164" s="1"/>
  <c r="H43" i="164"/>
  <c r="I43" i="164" s="1"/>
  <c r="E44" i="162"/>
  <c r="F44" i="162"/>
  <c r="F17" i="89" l="1"/>
  <c r="F34" i="105" s="1"/>
  <c r="H17" i="89"/>
  <c r="H34" i="105" s="1"/>
  <c r="I17" i="89"/>
  <c r="I34" i="105" s="1"/>
  <c r="J17" i="89"/>
  <c r="J34" i="105" s="1"/>
  <c r="K17" i="89"/>
  <c r="K34" i="105" s="1"/>
  <c r="L17" i="89"/>
  <c r="L34" i="105" s="1"/>
  <c r="L45" i="89"/>
  <c r="L15" i="89" s="1"/>
  <c r="K45" i="89"/>
  <c r="K15" i="89" s="1"/>
  <c r="J45" i="89"/>
  <c r="J15" i="89" s="1"/>
  <c r="I45" i="89"/>
  <c r="I15" i="89" s="1"/>
  <c r="H45" i="89"/>
  <c r="H15" i="89" s="1"/>
  <c r="G45" i="89"/>
  <c r="G15" i="89" s="1"/>
  <c r="F45" i="89"/>
  <c r="F15" i="89" s="1"/>
  <c r="E45" i="89"/>
  <c r="E15" i="89" s="1"/>
  <c r="E40" i="89" l="1"/>
  <c r="E14" i="89" s="1"/>
  <c r="F40" i="89"/>
  <c r="F14" i="89" s="1"/>
  <c r="G40" i="89"/>
  <c r="G14" i="89" s="1"/>
  <c r="H40" i="89"/>
  <c r="H14" i="89" s="1"/>
  <c r="I40" i="89"/>
  <c r="I14" i="89" s="1"/>
  <c r="J40" i="89"/>
  <c r="J14" i="89" s="1"/>
  <c r="K40" i="89"/>
  <c r="K14" i="89" s="1"/>
  <c r="L40" i="89"/>
  <c r="L14" i="89" s="1"/>
  <c r="E59" i="85"/>
  <c r="E15" i="85" s="1"/>
  <c r="F59" i="85"/>
  <c r="F15" i="85" s="1"/>
  <c r="G59" i="85"/>
  <c r="G15" i="85" s="1"/>
  <c r="H59" i="85"/>
  <c r="H15" i="85" s="1"/>
  <c r="I59" i="85"/>
  <c r="I15" i="85" s="1"/>
  <c r="J59" i="85"/>
  <c r="J15" i="85" s="1"/>
  <c r="K59" i="85"/>
  <c r="K15" i="85" s="1"/>
  <c r="L59" i="85"/>
  <c r="L15" i="85" s="1"/>
  <c r="D42" i="182" s="1"/>
  <c r="E54" i="85"/>
  <c r="E14" i="85" s="1"/>
  <c r="F54" i="85"/>
  <c r="F14" i="85" s="1"/>
  <c r="G54" i="85"/>
  <c r="G14" i="85" s="1"/>
  <c r="H54" i="85"/>
  <c r="H14" i="85" s="1"/>
  <c r="I54" i="85"/>
  <c r="I14" i="85" s="1"/>
  <c r="J54" i="85"/>
  <c r="J14" i="85" s="1"/>
  <c r="K54" i="85"/>
  <c r="K14" i="85" s="1"/>
  <c r="L54" i="85"/>
  <c r="L14" i="85" s="1"/>
  <c r="D43" i="182" s="1"/>
  <c r="C30" i="174"/>
  <c r="D30" i="174"/>
  <c r="E30" i="174"/>
  <c r="C29" i="174"/>
  <c r="D29" i="174"/>
  <c r="E29" i="174"/>
  <c r="E32" i="46"/>
  <c r="E60" i="172" s="1"/>
  <c r="F32" i="46"/>
  <c r="G32" i="46"/>
  <c r="H32" i="46"/>
  <c r="I32" i="46"/>
  <c r="J32" i="46"/>
  <c r="K32" i="46"/>
  <c r="L32" i="46"/>
  <c r="M32" i="46"/>
  <c r="N32" i="46"/>
  <c r="O32" i="46"/>
  <c r="P32" i="46"/>
  <c r="E31" i="46"/>
  <c r="E59" i="172" s="1"/>
  <c r="F31" i="46"/>
  <c r="G31" i="46"/>
  <c r="H31" i="46"/>
  <c r="I31" i="46"/>
  <c r="J31" i="46"/>
  <c r="K31" i="46"/>
  <c r="L31" i="46"/>
  <c r="M31" i="46"/>
  <c r="N31" i="46"/>
  <c r="O31" i="46"/>
  <c r="P31" i="46"/>
  <c r="E30" i="46"/>
  <c r="E58" i="172" s="1"/>
  <c r="F30" i="46"/>
  <c r="G30" i="46"/>
  <c r="H30" i="46"/>
  <c r="I30" i="46"/>
  <c r="J30" i="46"/>
  <c r="K30" i="46"/>
  <c r="L30" i="46"/>
  <c r="M30" i="46"/>
  <c r="N30" i="46"/>
  <c r="O30" i="46"/>
  <c r="P30" i="46"/>
  <c r="E35" i="46"/>
  <c r="E63" i="172" s="1"/>
  <c r="E37" i="74"/>
  <c r="E6" i="74" s="1"/>
  <c r="C39" i="177" s="1"/>
  <c r="C46" i="177" s="1"/>
  <c r="F37" i="74"/>
  <c r="F6" i="74" s="1"/>
  <c r="G37" i="74"/>
  <c r="G6" i="74" s="1"/>
  <c r="H37" i="74"/>
  <c r="H6" i="74" s="1"/>
  <c r="D39" i="177" s="1"/>
  <c r="D46" i="177" s="1"/>
  <c r="I37" i="74"/>
  <c r="I6" i="74" s="1"/>
  <c r="J37" i="74"/>
  <c r="J6" i="74" s="1"/>
  <c r="K37" i="74"/>
  <c r="K6" i="74" s="1"/>
  <c r="E39" i="177" s="1"/>
  <c r="E46" i="177" s="1"/>
  <c r="L37" i="74"/>
  <c r="L6" i="74" s="1"/>
  <c r="M37" i="74"/>
  <c r="M6" i="74" s="1"/>
  <c r="N37" i="74"/>
  <c r="N6" i="74" s="1"/>
  <c r="F39" i="177" s="1"/>
  <c r="F46" i="177" s="1"/>
  <c r="O37" i="74"/>
  <c r="O6" i="74" s="1"/>
  <c r="P37" i="74"/>
  <c r="P6" i="74" s="1"/>
  <c r="P60" i="152"/>
  <c r="P59" i="152"/>
  <c r="P58" i="152"/>
  <c r="P57" i="152"/>
  <c r="P56" i="152"/>
  <c r="P55" i="152"/>
  <c r="P54" i="152"/>
  <c r="P53" i="152"/>
  <c r="P52" i="152"/>
  <c r="P51" i="152"/>
  <c r="P50" i="152"/>
  <c r="P49" i="152"/>
  <c r="P48" i="152"/>
  <c r="P47" i="152"/>
  <c r="P46" i="152"/>
  <c r="P45" i="152"/>
  <c r="P44" i="152"/>
  <c r="P43" i="152"/>
  <c r="P42" i="152"/>
  <c r="P41" i="152"/>
  <c r="P40" i="152"/>
  <c r="P39" i="152"/>
  <c r="P38" i="152"/>
  <c r="P37" i="152"/>
  <c r="M60" i="152"/>
  <c r="M59" i="152"/>
  <c r="M58" i="152"/>
  <c r="M57" i="152"/>
  <c r="M56" i="152"/>
  <c r="M55" i="152"/>
  <c r="M54" i="152"/>
  <c r="M53" i="152"/>
  <c r="M52" i="152"/>
  <c r="M51" i="152"/>
  <c r="M50" i="152"/>
  <c r="M49" i="152"/>
  <c r="M48" i="152"/>
  <c r="M47" i="152"/>
  <c r="M46" i="152"/>
  <c r="M45" i="152"/>
  <c r="M44" i="152"/>
  <c r="M43" i="152"/>
  <c r="M42" i="152"/>
  <c r="M41" i="152"/>
  <c r="M40" i="152"/>
  <c r="M39" i="152"/>
  <c r="M38" i="152"/>
  <c r="M37" i="152"/>
  <c r="J60" i="152"/>
  <c r="J59" i="152"/>
  <c r="J58" i="152"/>
  <c r="J57" i="152"/>
  <c r="J56" i="152"/>
  <c r="J55" i="152"/>
  <c r="J54" i="152"/>
  <c r="J53" i="152"/>
  <c r="J52" i="152"/>
  <c r="J51" i="152"/>
  <c r="J50" i="152"/>
  <c r="J49" i="152"/>
  <c r="J48" i="152"/>
  <c r="J47" i="152"/>
  <c r="J46" i="152"/>
  <c r="J45" i="152"/>
  <c r="J44" i="152"/>
  <c r="J43" i="152"/>
  <c r="J42" i="152"/>
  <c r="J41" i="152"/>
  <c r="J40" i="152"/>
  <c r="J39" i="152"/>
  <c r="J38" i="152"/>
  <c r="J37" i="152"/>
  <c r="G36" i="152"/>
  <c r="F36" i="152" s="1"/>
  <c r="G37" i="152"/>
  <c r="G38" i="152"/>
  <c r="G39" i="152"/>
  <c r="G40" i="152"/>
  <c r="G41" i="152"/>
  <c r="G42" i="152"/>
  <c r="G43" i="152"/>
  <c r="G44" i="152"/>
  <c r="G45" i="152"/>
  <c r="G46" i="152"/>
  <c r="G47" i="152"/>
  <c r="G48" i="152"/>
  <c r="G49" i="152"/>
  <c r="G50" i="152"/>
  <c r="G51" i="152"/>
  <c r="G52" i="152"/>
  <c r="G53" i="152"/>
  <c r="G54" i="152"/>
  <c r="G55" i="152"/>
  <c r="G56" i="152"/>
  <c r="G57" i="152"/>
  <c r="G58" i="152"/>
  <c r="G59" i="152"/>
  <c r="G60" i="152"/>
  <c r="E75" i="162"/>
  <c r="F75" i="162"/>
  <c r="F53" i="162" l="1"/>
  <c r="F57" i="162"/>
  <c r="F65" i="162"/>
  <c r="F34" i="162" s="1"/>
  <c r="G34" i="162" s="1"/>
  <c r="K35" i="46"/>
  <c r="D27" i="174"/>
  <c r="F46" i="162"/>
  <c r="F29" i="162" s="1"/>
  <c r="F54" i="162"/>
  <c r="F62" i="162"/>
  <c r="C26" i="174"/>
  <c r="F35" i="46"/>
  <c r="C28" i="174"/>
  <c r="F47" i="162"/>
  <c r="F51" i="162"/>
  <c r="F55" i="162"/>
  <c r="F59" i="162"/>
  <c r="F63" i="162"/>
  <c r="F67" i="162"/>
  <c r="F36" i="162" s="1"/>
  <c r="G36" i="162" s="1"/>
  <c r="E41" i="172"/>
  <c r="M35" i="46"/>
  <c r="I35" i="46"/>
  <c r="F49" i="162"/>
  <c r="F61" i="162"/>
  <c r="F69" i="162"/>
  <c r="F38" i="162" s="1"/>
  <c r="G38" i="162" s="1"/>
  <c r="D26" i="174"/>
  <c r="G35" i="46"/>
  <c r="G40" i="46" s="1"/>
  <c r="D28" i="174"/>
  <c r="F50" i="162"/>
  <c r="F58" i="162"/>
  <c r="F66" i="162"/>
  <c r="F35" i="162" s="1"/>
  <c r="G35" i="162" s="1"/>
  <c r="J35" i="46"/>
  <c r="C27" i="174"/>
  <c r="F48" i="162"/>
  <c r="F52" i="162"/>
  <c r="F56" i="162"/>
  <c r="F60" i="162"/>
  <c r="F64" i="162"/>
  <c r="F68" i="162"/>
  <c r="F37" i="162" s="1"/>
  <c r="G37" i="162" s="1"/>
  <c r="E26" i="174"/>
  <c r="L35" i="46"/>
  <c r="H35" i="46"/>
  <c r="J40" i="46" s="1"/>
  <c r="E27" i="174"/>
  <c r="E28" i="174"/>
  <c r="F28" i="174" s="1"/>
  <c r="H75" i="162"/>
  <c r="K75" i="162" s="1"/>
  <c r="L75" i="162" s="1"/>
  <c r="G75" i="162"/>
  <c r="K74" i="162" s="1"/>
  <c r="L74" i="162" s="1"/>
  <c r="P35" i="46"/>
  <c r="N35" i="46"/>
  <c r="F27" i="174"/>
  <c r="F29" i="174"/>
  <c r="F30" i="174"/>
  <c r="O35" i="46"/>
  <c r="E13" i="74"/>
  <c r="L40" i="46" l="1"/>
  <c r="L43" i="46" s="1"/>
  <c r="M40" i="46"/>
  <c r="M41" i="46" s="1"/>
  <c r="D31" i="174"/>
  <c r="G34" i="174" s="1"/>
  <c r="F33" i="162"/>
  <c r="G33" i="162" s="1"/>
  <c r="G29" i="162"/>
  <c r="F31" i="162"/>
  <c r="G31" i="162" s="1"/>
  <c r="F32" i="162"/>
  <c r="G32" i="162" s="1"/>
  <c r="F30" i="162"/>
  <c r="G30" i="162" s="1"/>
  <c r="F70" i="162"/>
  <c r="G65" i="162" s="1"/>
  <c r="C31" i="174"/>
  <c r="C37" i="174" s="1"/>
  <c r="N41" i="172"/>
  <c r="L41" i="172"/>
  <c r="I41" i="172"/>
  <c r="I40" i="46"/>
  <c r="I43" i="46" s="1"/>
  <c r="E31" i="174"/>
  <c r="E34" i="174" s="1"/>
  <c r="K41" i="172"/>
  <c r="J43" i="46"/>
  <c r="F41" i="172"/>
  <c r="F40" i="46"/>
  <c r="O41" i="172"/>
  <c r="H41" i="172"/>
  <c r="P27" i="83"/>
  <c r="P31" i="83"/>
  <c r="P35" i="83"/>
  <c r="P29" i="83"/>
  <c r="P37" i="83"/>
  <c r="P30" i="83"/>
  <c r="P38" i="83"/>
  <c r="P28" i="83"/>
  <c r="P32" i="83"/>
  <c r="P36" i="83"/>
  <c r="P25" i="83"/>
  <c r="P33" i="83"/>
  <c r="P26" i="83"/>
  <c r="P34" i="83"/>
  <c r="N28" i="83"/>
  <c r="N32" i="83"/>
  <c r="N36" i="83"/>
  <c r="N25" i="83"/>
  <c r="N33" i="83"/>
  <c r="N37" i="83"/>
  <c r="N27" i="83"/>
  <c r="N31" i="83"/>
  <c r="N35" i="83"/>
  <c r="N26" i="83"/>
  <c r="N30" i="83"/>
  <c r="N34" i="83"/>
  <c r="N38" i="83"/>
  <c r="N29" i="83"/>
  <c r="M43" i="46"/>
  <c r="E37" i="174"/>
  <c r="O40" i="46"/>
  <c r="O43" i="46" s="1"/>
  <c r="P40" i="46"/>
  <c r="I75" i="162"/>
  <c r="G41" i="46"/>
  <c r="J41" i="46"/>
  <c r="H39" i="83"/>
  <c r="H20" i="83"/>
  <c r="H12" i="83"/>
  <c r="H4" i="83"/>
  <c r="H17" i="83"/>
  <c r="H5" i="83"/>
  <c r="H22" i="83"/>
  <c r="H18" i="83"/>
  <c r="H14" i="83"/>
  <c r="H10" i="83"/>
  <c r="H6" i="83"/>
  <c r="H23" i="83"/>
  <c r="H19" i="83"/>
  <c r="H15" i="83"/>
  <c r="H11" i="83"/>
  <c r="H7" i="83"/>
  <c r="H24" i="83"/>
  <c r="H16" i="83"/>
  <c r="H8" i="83"/>
  <c r="H21" i="83"/>
  <c r="H13" i="83"/>
  <c r="H9" i="83"/>
  <c r="K39" i="83"/>
  <c r="K22" i="83"/>
  <c r="K9" i="83"/>
  <c r="K7" i="83"/>
  <c r="K24" i="83"/>
  <c r="K20" i="83"/>
  <c r="K19" i="83"/>
  <c r="K18" i="83"/>
  <c r="K17" i="83"/>
  <c r="K16" i="83"/>
  <c r="K15" i="83"/>
  <c r="K14" i="83"/>
  <c r="K13" i="83"/>
  <c r="K12" i="83"/>
  <c r="K11" i="83"/>
  <c r="K10" i="83"/>
  <c r="K8" i="83"/>
  <c r="K4" i="83"/>
  <c r="K23" i="83"/>
  <c r="K5" i="83"/>
  <c r="K6" i="83"/>
  <c r="K21" i="83"/>
  <c r="N22" i="83"/>
  <c r="N18" i="83"/>
  <c r="N14" i="83"/>
  <c r="N10" i="83"/>
  <c r="N6" i="83"/>
  <c r="N23" i="83"/>
  <c r="N19" i="83"/>
  <c r="N15" i="83"/>
  <c r="N11" i="83"/>
  <c r="N7" i="83"/>
  <c r="N24" i="83"/>
  <c r="N20" i="83"/>
  <c r="N16" i="83"/>
  <c r="N12" i="83"/>
  <c r="N8" i="83"/>
  <c r="N39" i="83"/>
  <c r="N21" i="83"/>
  <c r="N17" i="83"/>
  <c r="N13" i="83"/>
  <c r="N9" i="83"/>
  <c r="N5" i="83"/>
  <c r="N4" i="83"/>
  <c r="J18" i="83"/>
  <c r="J14" i="83"/>
  <c r="J6" i="83"/>
  <c r="J23" i="83"/>
  <c r="J15" i="83"/>
  <c r="J7" i="83"/>
  <c r="J24" i="83"/>
  <c r="J20" i="83"/>
  <c r="J16" i="83"/>
  <c r="J12" i="83"/>
  <c r="J8" i="83"/>
  <c r="J39" i="83"/>
  <c r="J21" i="83"/>
  <c r="J17" i="83"/>
  <c r="J13" i="83"/>
  <c r="J9" i="83"/>
  <c r="J5" i="83"/>
  <c r="J4" i="83"/>
  <c r="J22" i="83"/>
  <c r="J10" i="83"/>
  <c r="J19" i="83"/>
  <c r="J11" i="83"/>
  <c r="M39" i="83"/>
  <c r="M10" i="83"/>
  <c r="M4" i="83"/>
  <c r="M5" i="83"/>
  <c r="M11" i="83"/>
  <c r="M13" i="83"/>
  <c r="M15" i="83"/>
  <c r="M17" i="83"/>
  <c r="M19" i="83"/>
  <c r="M8" i="83"/>
  <c r="M12" i="83"/>
  <c r="M14" i="83"/>
  <c r="M16" i="83"/>
  <c r="M18" i="83"/>
  <c r="M20" i="83"/>
  <c r="M6" i="83"/>
  <c r="M7" i="83"/>
  <c r="M9" i="83"/>
  <c r="M22" i="83"/>
  <c r="M24" i="83"/>
  <c r="M21" i="83"/>
  <c r="M23" i="83"/>
  <c r="P39" i="83"/>
  <c r="P22" i="83"/>
  <c r="P18" i="83"/>
  <c r="P14" i="83"/>
  <c r="P10" i="83"/>
  <c r="P6" i="83"/>
  <c r="P21" i="83"/>
  <c r="P17" i="83"/>
  <c r="P13" i="83"/>
  <c r="P9" i="83"/>
  <c r="P5" i="83"/>
  <c r="P24" i="83"/>
  <c r="P20" i="83"/>
  <c r="P16" i="83"/>
  <c r="P12" i="83"/>
  <c r="P8" i="83"/>
  <c r="P4" i="83"/>
  <c r="P23" i="83"/>
  <c r="P19" i="83"/>
  <c r="P15" i="83"/>
  <c r="P11" i="83"/>
  <c r="P7" i="83"/>
  <c r="E15" i="74"/>
  <c r="C48" i="177" s="1"/>
  <c r="E19" i="74"/>
  <c r="C52" i="177" s="1"/>
  <c r="E21" i="74"/>
  <c r="C54" i="177" s="1"/>
  <c r="E23" i="74"/>
  <c r="C56" i="177" s="1"/>
  <c r="E18" i="74"/>
  <c r="C51" i="177" s="1"/>
  <c r="E22" i="74"/>
  <c r="C55" i="177" s="1"/>
  <c r="E16" i="74"/>
  <c r="C49" i="177" s="1"/>
  <c r="E20" i="74"/>
  <c r="C53" i="177" s="1"/>
  <c r="E24" i="74"/>
  <c r="E17" i="74"/>
  <c r="C50" i="177" s="1"/>
  <c r="E51" i="87"/>
  <c r="E18" i="87" s="1"/>
  <c r="F51" i="87"/>
  <c r="F18" i="87" s="1"/>
  <c r="F19" i="87" s="1"/>
  <c r="G51" i="87"/>
  <c r="G18" i="87" s="1"/>
  <c r="H51" i="87"/>
  <c r="H18" i="87" s="1"/>
  <c r="I51" i="87"/>
  <c r="I18" i="87" s="1"/>
  <c r="J51" i="87"/>
  <c r="J18" i="87" s="1"/>
  <c r="J19" i="87" s="1"/>
  <c r="K51" i="87"/>
  <c r="K18" i="87" s="1"/>
  <c r="L51" i="87"/>
  <c r="L18" i="87" s="1"/>
  <c r="P43" i="46" l="1"/>
  <c r="G35" i="174"/>
  <c r="I35" i="174"/>
  <c r="G36" i="174"/>
  <c r="E35" i="174"/>
  <c r="G38" i="174"/>
  <c r="I38" i="174"/>
  <c r="G37" i="174"/>
  <c r="I37" i="174"/>
  <c r="E36" i="174"/>
  <c r="I36" i="174"/>
  <c r="E38" i="174"/>
  <c r="J35" i="87"/>
  <c r="J22" i="87"/>
  <c r="F35" i="87"/>
  <c r="F22" i="87"/>
  <c r="G39" i="82"/>
  <c r="F40" i="162"/>
  <c r="G40" i="162" s="1"/>
  <c r="G48" i="162"/>
  <c r="G50" i="162"/>
  <c r="G59" i="162"/>
  <c r="G62" i="162"/>
  <c r="G60" i="162"/>
  <c r="G55" i="162"/>
  <c r="G51" i="162"/>
  <c r="G70" i="162"/>
  <c r="G47" i="162"/>
  <c r="G52" i="162"/>
  <c r="G57" i="162"/>
  <c r="G64" i="162"/>
  <c r="G46" i="162"/>
  <c r="G61" i="162"/>
  <c r="G58" i="162"/>
  <c r="G66" i="162"/>
  <c r="G69" i="162"/>
  <c r="G56" i="162"/>
  <c r="G49" i="162"/>
  <c r="G67" i="162"/>
  <c r="G54" i="162"/>
  <c r="G45" i="162"/>
  <c r="G53" i="162"/>
  <c r="G63" i="162"/>
  <c r="G68" i="162"/>
  <c r="C34" i="174"/>
  <c r="C35" i="174"/>
  <c r="C38" i="174"/>
  <c r="C36" i="174"/>
  <c r="P41" i="46"/>
  <c r="F31" i="174"/>
  <c r="M45" i="83"/>
  <c r="K45" i="83"/>
  <c r="F32" i="87"/>
  <c r="J32" i="87"/>
  <c r="F33" i="87"/>
  <c r="J33" i="87"/>
  <c r="F34" i="87"/>
  <c r="J34" i="87"/>
  <c r="H19" i="87"/>
  <c r="H22" i="87" s="1"/>
  <c r="L19" i="87"/>
  <c r="L16" i="89"/>
  <c r="J16" i="89"/>
  <c r="H16" i="89"/>
  <c r="L16" i="85"/>
  <c r="D48" i="182" s="1"/>
  <c r="D32" i="182" s="1"/>
  <c r="D31" i="182" s="1"/>
  <c r="J16" i="85"/>
  <c r="H16" i="85"/>
  <c r="F16" i="85"/>
  <c r="F30" i="85" s="1"/>
  <c r="G7" i="83" l="1"/>
  <c r="G47" i="194"/>
  <c r="D37" i="174"/>
  <c r="D36" i="174"/>
  <c r="D35" i="174"/>
  <c r="D38" i="174"/>
  <c r="D36" i="159"/>
  <c r="L22" i="87"/>
  <c r="G24" i="83"/>
  <c r="G15" i="83"/>
  <c r="G9" i="83"/>
  <c r="G4" i="83"/>
  <c r="G22" i="83"/>
  <c r="G19" i="83"/>
  <c r="G8" i="83"/>
  <c r="G16" i="83"/>
  <c r="G14" i="83"/>
  <c r="G13" i="83"/>
  <c r="G34" i="83"/>
  <c r="G33" i="83"/>
  <c r="G36" i="83"/>
  <c r="G38" i="83"/>
  <c r="G37" i="83"/>
  <c r="G26" i="83"/>
  <c r="G25" i="83"/>
  <c r="G27" i="83"/>
  <c r="G30" i="83"/>
  <c r="G29" i="83"/>
  <c r="G32" i="83"/>
  <c r="G31" i="83"/>
  <c r="G28" i="83"/>
  <c r="G35" i="83"/>
  <c r="G21" i="83"/>
  <c r="G18" i="83"/>
  <c r="G39" i="83"/>
  <c r="G23" i="83"/>
  <c r="G11" i="83"/>
  <c r="G20" i="83"/>
  <c r="G5" i="83"/>
  <c r="G10" i="83"/>
  <c r="G17" i="83"/>
  <c r="G12" i="83"/>
  <c r="G6" i="83"/>
  <c r="L30" i="85"/>
  <c r="H30" i="85"/>
  <c r="H32" i="85"/>
  <c r="F29" i="85"/>
  <c r="F32" i="85"/>
  <c r="J30" i="85"/>
  <c r="J32" i="85"/>
  <c r="L29" i="85"/>
  <c r="L32" i="85"/>
  <c r="J32" i="89"/>
  <c r="H32" i="89"/>
  <c r="L32" i="89"/>
  <c r="J29" i="85"/>
  <c r="H29" i="85"/>
  <c r="L35" i="87"/>
  <c r="L34" i="87"/>
  <c r="L33" i="87"/>
  <c r="L32" i="87"/>
  <c r="H35" i="87"/>
  <c r="H34" i="87"/>
  <c r="H33" i="87"/>
  <c r="H32" i="87"/>
  <c r="O37" i="152"/>
  <c r="O38" i="152"/>
  <c r="O39" i="152"/>
  <c r="O40" i="152"/>
  <c r="O41" i="152"/>
  <c r="O42" i="152"/>
  <c r="O43" i="152"/>
  <c r="O44" i="152"/>
  <c r="O45" i="152"/>
  <c r="O46" i="152"/>
  <c r="O47" i="152"/>
  <c r="O48" i="152"/>
  <c r="O49" i="152"/>
  <c r="O50" i="152"/>
  <c r="O51" i="152"/>
  <c r="O52" i="152"/>
  <c r="O53" i="152"/>
  <c r="O54" i="152"/>
  <c r="O55" i="152"/>
  <c r="O56" i="152"/>
  <c r="O57" i="152"/>
  <c r="O58" i="152"/>
  <c r="O59" i="152"/>
  <c r="O60" i="152"/>
  <c r="L60" i="152"/>
  <c r="I60" i="152"/>
  <c r="F60" i="152"/>
  <c r="L59" i="152"/>
  <c r="I59" i="152"/>
  <c r="F59" i="152"/>
  <c r="L58" i="152"/>
  <c r="I58" i="152"/>
  <c r="F58" i="152"/>
  <c r="L57" i="152"/>
  <c r="I57" i="152"/>
  <c r="F57" i="152"/>
  <c r="L56" i="152"/>
  <c r="I56" i="152"/>
  <c r="F56" i="152"/>
  <c r="L55" i="152"/>
  <c r="I55" i="152"/>
  <c r="F55" i="152"/>
  <c r="L54" i="152"/>
  <c r="I54" i="152"/>
  <c r="F54" i="152"/>
  <c r="L53" i="152"/>
  <c r="I53" i="152"/>
  <c r="F53" i="152"/>
  <c r="L52" i="152"/>
  <c r="I52" i="152"/>
  <c r="F52" i="152"/>
  <c r="L51" i="152"/>
  <c r="I51" i="152"/>
  <c r="F51" i="152"/>
  <c r="L50" i="152"/>
  <c r="I50" i="152"/>
  <c r="F50" i="152"/>
  <c r="L49" i="152"/>
  <c r="I49" i="152"/>
  <c r="F49" i="152"/>
  <c r="L48" i="152"/>
  <c r="I48" i="152"/>
  <c r="F48" i="152"/>
  <c r="L47" i="152"/>
  <c r="I47" i="152"/>
  <c r="F47" i="152"/>
  <c r="L46" i="152"/>
  <c r="I46" i="152"/>
  <c r="F46" i="152"/>
  <c r="L45" i="152"/>
  <c r="I45" i="152"/>
  <c r="F45" i="152"/>
  <c r="L44" i="152"/>
  <c r="I44" i="152"/>
  <c r="F44" i="152"/>
  <c r="L43" i="152"/>
  <c r="I43" i="152"/>
  <c r="F43" i="152"/>
  <c r="L42" i="152"/>
  <c r="I42" i="152"/>
  <c r="F42" i="152"/>
  <c r="L41" i="152"/>
  <c r="I41" i="152"/>
  <c r="F41" i="152"/>
  <c r="L40" i="152"/>
  <c r="I40" i="152"/>
  <c r="F40" i="152"/>
  <c r="L39" i="152"/>
  <c r="I39" i="152"/>
  <c r="F39" i="152"/>
  <c r="L38" i="152"/>
  <c r="I38" i="152"/>
  <c r="F38" i="152"/>
  <c r="L37" i="152"/>
  <c r="I37" i="152"/>
  <c r="F37" i="152"/>
  <c r="E34" i="152"/>
  <c r="H34" i="152"/>
  <c r="K34" i="152"/>
  <c r="N34" i="152"/>
  <c r="D43" i="162" s="1"/>
  <c r="D27" i="162" l="1"/>
  <c r="E62" i="162"/>
  <c r="E50" i="162"/>
  <c r="H50" i="162" s="1"/>
  <c r="E69" i="162"/>
  <c r="E61" i="162"/>
  <c r="H61" i="162" s="1"/>
  <c r="E57" i="162"/>
  <c r="H57" i="162" s="1"/>
  <c r="E49" i="162"/>
  <c r="H49" i="162" s="1"/>
  <c r="E68" i="162"/>
  <c r="E64" i="162"/>
  <c r="H64" i="162" s="1"/>
  <c r="E60" i="162"/>
  <c r="H60" i="162" s="1"/>
  <c r="E56" i="162"/>
  <c r="H56" i="162" s="1"/>
  <c r="E52" i="162"/>
  <c r="E48" i="162"/>
  <c r="H48" i="162" s="1"/>
  <c r="E66" i="162"/>
  <c r="E58" i="162"/>
  <c r="E54" i="162"/>
  <c r="H54" i="162" s="1"/>
  <c r="E46" i="162"/>
  <c r="E29" i="162" s="1"/>
  <c r="E65" i="162"/>
  <c r="E53" i="162"/>
  <c r="H53" i="162" s="1"/>
  <c r="E67" i="162"/>
  <c r="E63" i="162"/>
  <c r="H63" i="162" s="1"/>
  <c r="E59" i="162"/>
  <c r="H59" i="162" s="1"/>
  <c r="E55" i="162"/>
  <c r="H55" i="162" s="1"/>
  <c r="E51" i="162"/>
  <c r="H51" i="162" s="1"/>
  <c r="E47" i="162"/>
  <c r="H45" i="162"/>
  <c r="H46" i="162" l="1"/>
  <c r="H67" i="162"/>
  <c r="E36" i="162"/>
  <c r="H36" i="162" s="1"/>
  <c r="H65" i="162"/>
  <c r="E34" i="162"/>
  <c r="H34" i="162" s="1"/>
  <c r="H66" i="162"/>
  <c r="E35" i="162"/>
  <c r="H35" i="162" s="1"/>
  <c r="H52" i="162"/>
  <c r="E31" i="162"/>
  <c r="H31" i="162" s="1"/>
  <c r="H68" i="162"/>
  <c r="E37" i="162"/>
  <c r="H37" i="162" s="1"/>
  <c r="H69" i="162"/>
  <c r="E38" i="162"/>
  <c r="H38" i="162" s="1"/>
  <c r="H62" i="162"/>
  <c r="E33" i="162"/>
  <c r="H33" i="162" s="1"/>
  <c r="H47" i="162"/>
  <c r="E30" i="162"/>
  <c r="H30" i="162" s="1"/>
  <c r="H29" i="162"/>
  <c r="H58" i="162"/>
  <c r="E32" i="162"/>
  <c r="H32" i="162" s="1"/>
  <c r="E70" i="162"/>
  <c r="H70" i="162" s="1"/>
  <c r="O23" i="152"/>
  <c r="O25" i="152"/>
  <c r="O27" i="152"/>
  <c r="E61" i="152"/>
  <c r="F61" i="152"/>
  <c r="G61" i="152"/>
  <c r="G29" i="152" s="1"/>
  <c r="H61" i="152"/>
  <c r="J61" i="152"/>
  <c r="J29" i="152" s="1"/>
  <c r="K61" i="152"/>
  <c r="L61" i="152"/>
  <c r="M61" i="152"/>
  <c r="N61" i="152"/>
  <c r="P61" i="152"/>
  <c r="P29" i="152" s="1"/>
  <c r="P28" i="152"/>
  <c r="O28" i="152"/>
  <c r="N28" i="152"/>
  <c r="P27" i="152"/>
  <c r="N27" i="152"/>
  <c r="P26" i="152"/>
  <c r="O26" i="152"/>
  <c r="N26" i="152"/>
  <c r="P25" i="152"/>
  <c r="N25" i="152"/>
  <c r="P24" i="152"/>
  <c r="O24" i="152"/>
  <c r="N24" i="152"/>
  <c r="P23" i="152"/>
  <c r="N23" i="152"/>
  <c r="P22" i="152"/>
  <c r="O22" i="152"/>
  <c r="N22" i="152"/>
  <c r="P21" i="152"/>
  <c r="O21" i="152"/>
  <c r="N21" i="152"/>
  <c r="P20" i="152"/>
  <c r="O20" i="152"/>
  <c r="N20" i="152"/>
  <c r="P19" i="152"/>
  <c r="O19" i="152"/>
  <c r="N19" i="152"/>
  <c r="P18" i="152"/>
  <c r="O18" i="152"/>
  <c r="N18" i="152"/>
  <c r="P17" i="152"/>
  <c r="O17" i="152"/>
  <c r="N17" i="152"/>
  <c r="P16" i="152"/>
  <c r="O16" i="152"/>
  <c r="N16" i="152"/>
  <c r="P15" i="152"/>
  <c r="O15" i="152"/>
  <c r="N15" i="152"/>
  <c r="P14" i="152"/>
  <c r="O14" i="152"/>
  <c r="N14" i="152"/>
  <c r="P13" i="152"/>
  <c r="O13" i="152"/>
  <c r="N13" i="152"/>
  <c r="P12" i="152"/>
  <c r="O12" i="152"/>
  <c r="N12" i="152"/>
  <c r="P11" i="152"/>
  <c r="O11" i="152"/>
  <c r="N11" i="152"/>
  <c r="P10" i="152"/>
  <c r="O10" i="152"/>
  <c r="N10" i="152"/>
  <c r="P9" i="152"/>
  <c r="O9" i="152"/>
  <c r="N9" i="152"/>
  <c r="P8" i="152"/>
  <c r="O8" i="152"/>
  <c r="N8" i="152"/>
  <c r="P7" i="152"/>
  <c r="O7" i="152"/>
  <c r="N7" i="152"/>
  <c r="P6" i="152"/>
  <c r="O6" i="152"/>
  <c r="N6" i="152"/>
  <c r="P5" i="152"/>
  <c r="O5" i="152"/>
  <c r="N5" i="152"/>
  <c r="P4" i="152"/>
  <c r="O4" i="152"/>
  <c r="N4" i="152"/>
  <c r="M28" i="152"/>
  <c r="L28" i="152"/>
  <c r="K28" i="152"/>
  <c r="M27" i="152"/>
  <c r="L27" i="152"/>
  <c r="K27" i="152"/>
  <c r="M26" i="152"/>
  <c r="L26" i="152"/>
  <c r="K26" i="152"/>
  <c r="M25" i="152"/>
  <c r="L25" i="152"/>
  <c r="K25" i="152"/>
  <c r="M24" i="152"/>
  <c r="L24" i="152"/>
  <c r="K24" i="152"/>
  <c r="M23" i="152"/>
  <c r="L23" i="152"/>
  <c r="K23" i="152"/>
  <c r="M22" i="152"/>
  <c r="L22" i="152"/>
  <c r="K22" i="152"/>
  <c r="M21" i="152"/>
  <c r="L21" i="152"/>
  <c r="K21" i="152"/>
  <c r="M20" i="152"/>
  <c r="L20" i="152"/>
  <c r="K20" i="152"/>
  <c r="M19" i="152"/>
  <c r="L19" i="152"/>
  <c r="K19" i="152"/>
  <c r="M18" i="152"/>
  <c r="L18" i="152"/>
  <c r="K18" i="152"/>
  <c r="M17" i="152"/>
  <c r="L17" i="152"/>
  <c r="K17" i="152"/>
  <c r="M16" i="152"/>
  <c r="L16" i="152"/>
  <c r="K16" i="152"/>
  <c r="M15" i="152"/>
  <c r="L15" i="152"/>
  <c r="K15" i="152"/>
  <c r="M14" i="152"/>
  <c r="L14" i="152"/>
  <c r="K14" i="152"/>
  <c r="M13" i="152"/>
  <c r="L13" i="152"/>
  <c r="K13" i="152"/>
  <c r="M12" i="152"/>
  <c r="L12" i="152"/>
  <c r="K12" i="152"/>
  <c r="M11" i="152"/>
  <c r="L11" i="152"/>
  <c r="K11" i="152"/>
  <c r="M10" i="152"/>
  <c r="L10" i="152"/>
  <c r="K10" i="152"/>
  <c r="M9" i="152"/>
  <c r="L9" i="152"/>
  <c r="K9" i="152"/>
  <c r="M8" i="152"/>
  <c r="L8" i="152"/>
  <c r="K8" i="152"/>
  <c r="M7" i="152"/>
  <c r="L7" i="152"/>
  <c r="K7" i="152"/>
  <c r="M6" i="152"/>
  <c r="L6" i="152"/>
  <c r="K6" i="152"/>
  <c r="M5" i="152"/>
  <c r="L5" i="152"/>
  <c r="K5" i="152"/>
  <c r="M4" i="152"/>
  <c r="L4" i="152"/>
  <c r="K4" i="152"/>
  <c r="J28" i="152"/>
  <c r="I28" i="152"/>
  <c r="H28" i="152"/>
  <c r="J27" i="152"/>
  <c r="I27" i="152"/>
  <c r="H27" i="152"/>
  <c r="J26" i="152"/>
  <c r="I26" i="152"/>
  <c r="H26" i="152"/>
  <c r="J25" i="152"/>
  <c r="I25" i="152"/>
  <c r="H25" i="152"/>
  <c r="J24" i="152"/>
  <c r="I24" i="152"/>
  <c r="H24" i="152"/>
  <c r="J23" i="152"/>
  <c r="I23" i="152"/>
  <c r="H23" i="152"/>
  <c r="J22" i="152"/>
  <c r="I22" i="152"/>
  <c r="H22" i="152"/>
  <c r="J21" i="152"/>
  <c r="I21" i="152"/>
  <c r="H21" i="152"/>
  <c r="J20" i="152"/>
  <c r="I20" i="152"/>
  <c r="H20" i="152"/>
  <c r="J19" i="152"/>
  <c r="I19" i="152"/>
  <c r="H19" i="152"/>
  <c r="J18" i="152"/>
  <c r="I18" i="152"/>
  <c r="H18" i="152"/>
  <c r="J17" i="152"/>
  <c r="I17" i="152"/>
  <c r="H17" i="152"/>
  <c r="J16" i="152"/>
  <c r="I16" i="152"/>
  <c r="H16" i="152"/>
  <c r="J15" i="152"/>
  <c r="I15" i="152"/>
  <c r="H15" i="152"/>
  <c r="J14" i="152"/>
  <c r="I14" i="152"/>
  <c r="H14" i="152"/>
  <c r="J13" i="152"/>
  <c r="I13" i="152"/>
  <c r="H13" i="152"/>
  <c r="J12" i="152"/>
  <c r="I12" i="152"/>
  <c r="H12" i="152"/>
  <c r="J11" i="152"/>
  <c r="I11" i="152"/>
  <c r="H11" i="152"/>
  <c r="J10" i="152"/>
  <c r="I10" i="152"/>
  <c r="H10" i="152"/>
  <c r="J9" i="152"/>
  <c r="I9" i="152"/>
  <c r="H9" i="152"/>
  <c r="J8" i="152"/>
  <c r="I8" i="152"/>
  <c r="H8" i="152"/>
  <c r="J7" i="152"/>
  <c r="I7" i="152"/>
  <c r="H7" i="152"/>
  <c r="J6" i="152"/>
  <c r="I6" i="152"/>
  <c r="H6" i="152"/>
  <c r="J5" i="152"/>
  <c r="I5" i="152"/>
  <c r="H5" i="152"/>
  <c r="J4" i="152"/>
  <c r="I4" i="152"/>
  <c r="H4" i="152"/>
  <c r="G28" i="152"/>
  <c r="F28" i="152"/>
  <c r="G27" i="152"/>
  <c r="F27" i="152"/>
  <c r="G26" i="152"/>
  <c r="F26" i="152"/>
  <c r="G25" i="152"/>
  <c r="F25" i="152"/>
  <c r="G24" i="152"/>
  <c r="F24" i="152"/>
  <c r="G23" i="152"/>
  <c r="F23" i="152"/>
  <c r="G22" i="152"/>
  <c r="F22" i="152"/>
  <c r="G21" i="152"/>
  <c r="F21" i="152"/>
  <c r="G20" i="152"/>
  <c r="F20" i="152"/>
  <c r="G19" i="152"/>
  <c r="F19" i="152"/>
  <c r="G18" i="152"/>
  <c r="F18" i="152"/>
  <c r="G17" i="152"/>
  <c r="F17" i="152"/>
  <c r="G16" i="152"/>
  <c r="F16" i="152"/>
  <c r="G15" i="152"/>
  <c r="F15" i="152"/>
  <c r="G14" i="152"/>
  <c r="F14" i="152"/>
  <c r="G13" i="152"/>
  <c r="F13" i="152"/>
  <c r="G12" i="152"/>
  <c r="F12" i="152"/>
  <c r="G11" i="152"/>
  <c r="F11" i="152"/>
  <c r="G10" i="152"/>
  <c r="F10" i="152"/>
  <c r="G9" i="152"/>
  <c r="F9" i="152"/>
  <c r="G8" i="152"/>
  <c r="F8" i="152"/>
  <c r="G7" i="152"/>
  <c r="F7" i="152"/>
  <c r="G6" i="152"/>
  <c r="F6" i="152"/>
  <c r="G5" i="152"/>
  <c r="F5" i="152"/>
  <c r="G4" i="152"/>
  <c r="F4" i="152"/>
  <c r="E4" i="152"/>
  <c r="E5" i="152"/>
  <c r="E6" i="152"/>
  <c r="E7" i="152"/>
  <c r="E8" i="152"/>
  <c r="E9" i="152"/>
  <c r="E10" i="152"/>
  <c r="E11" i="152"/>
  <c r="E12" i="152"/>
  <c r="E13" i="152"/>
  <c r="E14" i="152"/>
  <c r="E15" i="152"/>
  <c r="E16" i="152"/>
  <c r="E17" i="152"/>
  <c r="E18" i="152"/>
  <c r="E19" i="152"/>
  <c r="E20" i="152"/>
  <c r="E21" i="152"/>
  <c r="E22" i="152"/>
  <c r="E23" i="152"/>
  <c r="E24" i="152"/>
  <c r="E25" i="152"/>
  <c r="E26" i="152"/>
  <c r="E27" i="152"/>
  <c r="E28" i="152"/>
  <c r="C28" i="141"/>
  <c r="D28" i="141"/>
  <c r="E28" i="141"/>
  <c r="F28" i="141"/>
  <c r="C29" i="141"/>
  <c r="D29" i="141"/>
  <c r="E29" i="141"/>
  <c r="F29" i="141"/>
  <c r="C30" i="141"/>
  <c r="D30" i="141"/>
  <c r="E30" i="141"/>
  <c r="F30" i="141"/>
  <c r="C31" i="141"/>
  <c r="D31" i="141"/>
  <c r="E31" i="141"/>
  <c r="F31" i="141"/>
  <c r="C32" i="141"/>
  <c r="D32" i="141"/>
  <c r="E32" i="141"/>
  <c r="F32" i="141"/>
  <c r="C33" i="141"/>
  <c r="D33" i="141"/>
  <c r="E33" i="141"/>
  <c r="F33" i="141"/>
  <c r="C35" i="141"/>
  <c r="D35" i="141"/>
  <c r="E35" i="141"/>
  <c r="F35" i="141"/>
  <c r="E40" i="162" l="1"/>
  <c r="H40" i="162" s="1"/>
  <c r="E29" i="152"/>
  <c r="E36" i="141"/>
  <c r="H29" i="152"/>
  <c r="L29" i="152"/>
  <c r="F29" i="152"/>
  <c r="K29" i="152"/>
  <c r="M29" i="152"/>
  <c r="C36" i="141"/>
  <c r="N29" i="152"/>
  <c r="O61" i="152"/>
  <c r="O29" i="152" s="1"/>
  <c r="I61" i="152"/>
  <c r="I29" i="152" s="1"/>
  <c r="F36" i="141"/>
  <c r="D36" i="141"/>
  <c r="L12" i="139" l="1"/>
  <c r="F42" i="87" l="1"/>
  <c r="G42" i="87"/>
  <c r="H42" i="87"/>
  <c r="I42" i="87"/>
  <c r="K42" i="87"/>
  <c r="N12" i="149" l="1"/>
  <c r="N20" i="149" s="1"/>
  <c r="F44" i="141" s="1"/>
  <c r="P12" i="149"/>
  <c r="P20" i="149" s="1"/>
  <c r="O12" i="149"/>
  <c r="O20" i="149" s="1"/>
  <c r="M12" i="149"/>
  <c r="M20" i="149" s="1"/>
  <c r="L12" i="149"/>
  <c r="L20" i="149" s="1"/>
  <c r="K12" i="149"/>
  <c r="K20" i="149" s="1"/>
  <c r="E44" i="141" s="1"/>
  <c r="F12" i="149" l="1"/>
  <c r="F20" i="149" s="1"/>
  <c r="H12" i="149"/>
  <c r="J12" i="149"/>
  <c r="J20" i="149" s="1"/>
  <c r="L14" i="149"/>
  <c r="N14" i="149"/>
  <c r="F38" i="141" s="1"/>
  <c r="P14" i="149"/>
  <c r="L15" i="149"/>
  <c r="N15" i="149"/>
  <c r="F39" i="141" s="1"/>
  <c r="P15" i="149"/>
  <c r="L16" i="149"/>
  <c r="N16" i="149"/>
  <c r="F40" i="141" s="1"/>
  <c r="P16" i="149"/>
  <c r="L17" i="149"/>
  <c r="N17" i="149"/>
  <c r="F41" i="141" s="1"/>
  <c r="P17" i="149"/>
  <c r="L18" i="149"/>
  <c r="N18" i="149"/>
  <c r="F42" i="141" s="1"/>
  <c r="P18" i="149"/>
  <c r="L19" i="149"/>
  <c r="N19" i="149"/>
  <c r="F43" i="141" s="1"/>
  <c r="P19" i="149"/>
  <c r="L21" i="149"/>
  <c r="N21" i="149"/>
  <c r="F45" i="141" s="1"/>
  <c r="P21" i="149"/>
  <c r="E12" i="149"/>
  <c r="E20" i="149" s="1"/>
  <c r="C44" i="141" s="1"/>
  <c r="G12" i="149"/>
  <c r="I12" i="149"/>
  <c r="K14" i="149"/>
  <c r="E38" i="141" s="1"/>
  <c r="M14" i="149"/>
  <c r="O14" i="149"/>
  <c r="K15" i="149"/>
  <c r="E39" i="141" s="1"/>
  <c r="M15" i="149"/>
  <c r="O15" i="149"/>
  <c r="K16" i="149"/>
  <c r="E40" i="141" s="1"/>
  <c r="M16" i="149"/>
  <c r="O16" i="149"/>
  <c r="K17" i="149"/>
  <c r="E41" i="141" s="1"/>
  <c r="M17" i="149"/>
  <c r="O17" i="149"/>
  <c r="K18" i="149"/>
  <c r="E42" i="141" s="1"/>
  <c r="M18" i="149"/>
  <c r="O18" i="149"/>
  <c r="K19" i="149"/>
  <c r="E43" i="141" s="1"/>
  <c r="M19" i="149"/>
  <c r="O19" i="149"/>
  <c r="K21" i="149"/>
  <c r="E45" i="141" s="1"/>
  <c r="M21" i="149"/>
  <c r="O21" i="149"/>
  <c r="K8" i="139"/>
  <c r="G17" i="149" l="1"/>
  <c r="G20" i="149"/>
  <c r="H17" i="149"/>
  <c r="D41" i="141" s="1"/>
  <c r="H20" i="149"/>
  <c r="D44" i="141" s="1"/>
  <c r="I17" i="149"/>
  <c r="I20" i="149"/>
  <c r="E21" i="149"/>
  <c r="C45" i="141" s="1"/>
  <c r="E19" i="149"/>
  <c r="C43" i="141" s="1"/>
  <c r="E18" i="149"/>
  <c r="C42" i="141" s="1"/>
  <c r="E16" i="149"/>
  <c r="C40" i="141" s="1"/>
  <c r="E15" i="149"/>
  <c r="C39" i="141" s="1"/>
  <c r="E14" i="149"/>
  <c r="C38" i="141" s="1"/>
  <c r="J21" i="149"/>
  <c r="J19" i="149"/>
  <c r="J18" i="149"/>
  <c r="J16" i="149"/>
  <c r="J15" i="149"/>
  <c r="J14" i="149"/>
  <c r="F21" i="149"/>
  <c r="F19" i="149"/>
  <c r="F18" i="149"/>
  <c r="F16" i="149"/>
  <c r="F15" i="149"/>
  <c r="F14" i="149"/>
  <c r="G21" i="149"/>
  <c r="G19" i="149"/>
  <c r="G18" i="149"/>
  <c r="G16" i="149"/>
  <c r="G15" i="149"/>
  <c r="G14" i="149"/>
  <c r="H21" i="149"/>
  <c r="D45" i="141" s="1"/>
  <c r="H19" i="149"/>
  <c r="D43" i="141" s="1"/>
  <c r="H18" i="149"/>
  <c r="D42" i="141" s="1"/>
  <c r="H16" i="149"/>
  <c r="D40" i="141" s="1"/>
  <c r="H15" i="149"/>
  <c r="D39" i="141" s="1"/>
  <c r="H14" i="149"/>
  <c r="D38" i="141" s="1"/>
  <c r="M22" i="149"/>
  <c r="N22" i="149"/>
  <c r="O22" i="149"/>
  <c r="K22" i="149"/>
  <c r="P22" i="149"/>
  <c r="L22" i="149"/>
  <c r="J17" i="149"/>
  <c r="F17" i="149"/>
  <c r="E17" i="149"/>
  <c r="I21" i="149"/>
  <c r="I19" i="149"/>
  <c r="I18" i="149"/>
  <c r="I16" i="149"/>
  <c r="I15" i="149"/>
  <c r="I14" i="149"/>
  <c r="J42" i="87"/>
  <c r="S17" i="149" l="1"/>
  <c r="R17" i="149"/>
  <c r="C41" i="141"/>
  <c r="I22" i="149"/>
  <c r="G22" i="149"/>
  <c r="J22" i="149"/>
  <c r="H22" i="149"/>
  <c r="F22" i="149"/>
  <c r="E22" i="149"/>
  <c r="E29" i="137" l="1"/>
  <c r="F29" i="137"/>
  <c r="G29" i="137"/>
  <c r="H29" i="137"/>
  <c r="I29" i="137"/>
  <c r="J29" i="137"/>
  <c r="K29" i="137"/>
  <c r="L29" i="137"/>
  <c r="L29" i="100"/>
  <c r="K29" i="100"/>
  <c r="J29" i="100"/>
  <c r="I29" i="100"/>
  <c r="H29" i="100"/>
  <c r="G29" i="100"/>
  <c r="F29" i="100"/>
  <c r="E29" i="100"/>
  <c r="E29" i="110"/>
  <c r="F29" i="110"/>
  <c r="G29" i="110"/>
  <c r="H29" i="110"/>
  <c r="I29" i="110"/>
  <c r="J29" i="110"/>
  <c r="K29" i="110"/>
  <c r="L29" i="110"/>
  <c r="E29" i="104"/>
  <c r="F29" i="104"/>
  <c r="G29" i="104"/>
  <c r="H29" i="104"/>
  <c r="I29" i="104"/>
  <c r="J29" i="104"/>
  <c r="K29" i="104"/>
  <c r="L29" i="104"/>
  <c r="E29" i="114"/>
  <c r="F29" i="114"/>
  <c r="G29" i="114"/>
  <c r="H29" i="114"/>
  <c r="I29" i="114"/>
  <c r="J29" i="114"/>
  <c r="K29" i="114"/>
  <c r="L29" i="114"/>
  <c r="E29" i="113"/>
  <c r="F29" i="113"/>
  <c r="G29" i="113"/>
  <c r="H29" i="113"/>
  <c r="I29" i="113"/>
  <c r="J29" i="113"/>
  <c r="K29" i="113"/>
  <c r="L29" i="113"/>
  <c r="E29" i="118"/>
  <c r="F29" i="118"/>
  <c r="G29" i="118"/>
  <c r="H29" i="118"/>
  <c r="I29" i="118"/>
  <c r="J29" i="118"/>
  <c r="K29" i="118"/>
  <c r="L29" i="118"/>
  <c r="P13" i="74"/>
  <c r="P16" i="74" s="1"/>
  <c r="O13" i="74"/>
  <c r="O16" i="74" s="1"/>
  <c r="M13" i="74"/>
  <c r="M15" i="74" s="1"/>
  <c r="L13" i="74"/>
  <c r="L17" i="74" s="1"/>
  <c r="K13" i="74"/>
  <c r="K15" i="74" s="1"/>
  <c r="E48" i="177" s="1"/>
  <c r="K9" i="139"/>
  <c r="K5" i="139"/>
  <c r="G29" i="93"/>
  <c r="G4" i="122" s="1"/>
  <c r="F29" i="93"/>
  <c r="F4" i="122" s="1"/>
  <c r="E29" i="93"/>
  <c r="E4" i="122" s="1"/>
  <c r="L29" i="93"/>
  <c r="L4" i="122" s="1"/>
  <c r="K29" i="93"/>
  <c r="K4" i="122" s="1"/>
  <c r="J29" i="93"/>
  <c r="J4" i="122" s="1"/>
  <c r="I29" i="93"/>
  <c r="I4" i="122" s="1"/>
  <c r="H29" i="93"/>
  <c r="H4" i="122" s="1"/>
  <c r="L29" i="97"/>
  <c r="K29" i="97"/>
  <c r="K4" i="123" s="1"/>
  <c r="J29" i="97"/>
  <c r="J4" i="123" s="1"/>
  <c r="I29" i="97"/>
  <c r="I4" i="123" s="1"/>
  <c r="H29" i="97"/>
  <c r="H4" i="123" s="1"/>
  <c r="G29" i="97"/>
  <c r="G4" i="123" s="1"/>
  <c r="F29" i="97"/>
  <c r="F4" i="123" s="1"/>
  <c r="E29" i="97"/>
  <c r="E4" i="123" s="1"/>
  <c r="L4" i="123"/>
  <c r="D35" i="159"/>
  <c r="L4" i="125"/>
  <c r="K4" i="125"/>
  <c r="J4" i="125"/>
  <c r="I4" i="125"/>
  <c r="H4" i="125"/>
  <c r="F4" i="125"/>
  <c r="L21" i="87"/>
  <c r="L23" i="87"/>
  <c r="L24" i="87"/>
  <c r="J21" i="87"/>
  <c r="J23" i="87"/>
  <c r="J24" i="87"/>
  <c r="H21" i="87"/>
  <c r="H23" i="87"/>
  <c r="H24" i="87"/>
  <c r="F21" i="87"/>
  <c r="F23" i="87"/>
  <c r="F24" i="87"/>
  <c r="E39" i="82"/>
  <c r="E47" i="194" s="1"/>
  <c r="E6" i="77"/>
  <c r="E8" i="77" s="1"/>
  <c r="F6" i="77"/>
  <c r="F8" i="77" s="1"/>
  <c r="G6" i="77"/>
  <c r="G8" i="77" s="1"/>
  <c r="H6" i="77"/>
  <c r="H8" i="77" s="1"/>
  <c r="I6" i="77"/>
  <c r="I8" i="77" s="1"/>
  <c r="J6" i="77"/>
  <c r="J9" i="77" s="1"/>
  <c r="K6" i="77"/>
  <c r="L6" i="77"/>
  <c r="L8" i="77" s="1"/>
  <c r="M6" i="77"/>
  <c r="M9" i="77" s="1"/>
  <c r="N6" i="77"/>
  <c r="D76" i="162" s="1"/>
  <c r="O6" i="77"/>
  <c r="E76" i="162" s="1"/>
  <c r="P6" i="77"/>
  <c r="F76" i="162" s="1"/>
  <c r="K8" i="77"/>
  <c r="O8" i="77"/>
  <c r="E78" i="162" s="1"/>
  <c r="F9" i="77"/>
  <c r="G9" i="77"/>
  <c r="K9" i="77"/>
  <c r="O9" i="77"/>
  <c r="E79" i="162" s="1"/>
  <c r="E29" i="46"/>
  <c r="F29" i="46"/>
  <c r="G29" i="46"/>
  <c r="H29" i="46"/>
  <c r="I29" i="46"/>
  <c r="J29" i="46"/>
  <c r="K29" i="46"/>
  <c r="L29" i="46"/>
  <c r="M29" i="46"/>
  <c r="N29" i="46"/>
  <c r="O29" i="46"/>
  <c r="L30" i="150" s="1"/>
  <c r="P29" i="46"/>
  <c r="L16" i="139"/>
  <c r="L13" i="139"/>
  <c r="K7" i="139"/>
  <c r="K6" i="139"/>
  <c r="G10" i="139"/>
  <c r="G9" i="139"/>
  <c r="G8" i="139"/>
  <c r="G7" i="139"/>
  <c r="G6" i="139"/>
  <c r="D10" i="139"/>
  <c r="D9" i="139"/>
  <c r="D8" i="139"/>
  <c r="D7" i="139"/>
  <c r="D6" i="139"/>
  <c r="L4" i="135"/>
  <c r="K4" i="135"/>
  <c r="J4" i="135"/>
  <c r="I4" i="135"/>
  <c r="F16" i="89"/>
  <c r="H25" i="89"/>
  <c r="H26" i="89"/>
  <c r="J26" i="89"/>
  <c r="L26" i="89"/>
  <c r="H27" i="89"/>
  <c r="J27" i="89"/>
  <c r="L27" i="89"/>
  <c r="H28" i="89"/>
  <c r="J28" i="89"/>
  <c r="L28" i="89"/>
  <c r="L4" i="132"/>
  <c r="K4" i="132"/>
  <c r="J4" i="132"/>
  <c r="I4" i="132"/>
  <c r="H4" i="132"/>
  <c r="G4" i="132"/>
  <c r="F4" i="132"/>
  <c r="E4" i="132"/>
  <c r="L31" i="87"/>
  <c r="J31" i="87"/>
  <c r="H31" i="87"/>
  <c r="F31" i="87"/>
  <c r="L30" i="87"/>
  <c r="J30" i="87"/>
  <c r="H30" i="87"/>
  <c r="F30" i="87"/>
  <c r="L29" i="87"/>
  <c r="J29" i="87"/>
  <c r="H29" i="87"/>
  <c r="F29" i="87"/>
  <c r="L28" i="87"/>
  <c r="J28" i="87"/>
  <c r="H28" i="87"/>
  <c r="F28" i="87"/>
  <c r="L27" i="87"/>
  <c r="J27" i="87"/>
  <c r="H27" i="87"/>
  <c r="F27" i="87"/>
  <c r="L26" i="87"/>
  <c r="J26" i="87"/>
  <c r="H26" i="87"/>
  <c r="F26" i="87"/>
  <c r="L25" i="87"/>
  <c r="J25" i="87"/>
  <c r="H25" i="87"/>
  <c r="F25" i="87"/>
  <c r="G4" i="125"/>
  <c r="E4" i="125"/>
  <c r="F13" i="74"/>
  <c r="F15" i="74" s="1"/>
  <c r="G13" i="74"/>
  <c r="G15" i="74" s="1"/>
  <c r="H13" i="74"/>
  <c r="H15" i="74" s="1"/>
  <c r="D48" i="177" s="1"/>
  <c r="I13" i="74"/>
  <c r="I15" i="74" s="1"/>
  <c r="J13" i="74"/>
  <c r="J15" i="74" s="1"/>
  <c r="N13" i="74"/>
  <c r="N15" i="74" s="1"/>
  <c r="F48" i="177" s="1"/>
  <c r="F20" i="85"/>
  <c r="H20" i="85"/>
  <c r="J20" i="85"/>
  <c r="L20" i="85"/>
  <c r="F21" i="85"/>
  <c r="H21" i="85"/>
  <c r="J21" i="85"/>
  <c r="L21" i="85"/>
  <c r="F22" i="85"/>
  <c r="H22" i="85"/>
  <c r="J22" i="85"/>
  <c r="L22" i="85"/>
  <c r="F23" i="85"/>
  <c r="H23" i="85"/>
  <c r="J23" i="85"/>
  <c r="L23" i="85"/>
  <c r="F24" i="85"/>
  <c r="H24" i="85"/>
  <c r="J24" i="85"/>
  <c r="L24" i="85"/>
  <c r="F25" i="85"/>
  <c r="H25" i="85"/>
  <c r="J25" i="85"/>
  <c r="L25" i="85"/>
  <c r="F26" i="85"/>
  <c r="H26" i="85"/>
  <c r="J26" i="85"/>
  <c r="L26" i="85"/>
  <c r="F27" i="85"/>
  <c r="H27" i="85"/>
  <c r="J27" i="85"/>
  <c r="L27" i="85"/>
  <c r="F28" i="85"/>
  <c r="H28" i="85"/>
  <c r="J28" i="85"/>
  <c r="L28" i="85"/>
  <c r="F19" i="85"/>
  <c r="F31" i="85" s="1"/>
  <c r="H19" i="85"/>
  <c r="H31" i="85" s="1"/>
  <c r="J19" i="85"/>
  <c r="J31" i="85" s="1"/>
  <c r="L19" i="85"/>
  <c r="L31" i="85" s="1"/>
  <c r="N9" i="77" l="1"/>
  <c r="D79" i="162" s="1"/>
  <c r="J8" i="77"/>
  <c r="J10" i="77" s="1"/>
  <c r="F10" i="77"/>
  <c r="S8" i="77"/>
  <c r="N8" i="77"/>
  <c r="D78" i="162" s="1"/>
  <c r="E36" i="155"/>
  <c r="L31" i="150"/>
  <c r="I4" i="130"/>
  <c r="I29" i="130"/>
  <c r="I28" i="130"/>
  <c r="I27" i="130"/>
  <c r="I26" i="130"/>
  <c r="I25" i="130"/>
  <c r="I24" i="130"/>
  <c r="I23" i="130"/>
  <c r="I22" i="130"/>
  <c r="I21" i="130"/>
  <c r="I20" i="130"/>
  <c r="I19" i="130"/>
  <c r="I17" i="130"/>
  <c r="I15" i="130"/>
  <c r="I13" i="130"/>
  <c r="I11" i="130"/>
  <c r="I9" i="130"/>
  <c r="I7" i="130"/>
  <c r="I5" i="130"/>
  <c r="I18" i="130"/>
  <c r="I16" i="130"/>
  <c r="I14" i="130"/>
  <c r="I12" i="130"/>
  <c r="I10" i="130"/>
  <c r="I8" i="130"/>
  <c r="I6" i="130"/>
  <c r="E4" i="130"/>
  <c r="E29" i="130"/>
  <c r="E28" i="130"/>
  <c r="E27" i="130"/>
  <c r="E26" i="130"/>
  <c r="E25" i="130"/>
  <c r="E24" i="130"/>
  <c r="E23" i="130"/>
  <c r="E22" i="130"/>
  <c r="E21" i="130"/>
  <c r="E20" i="130"/>
  <c r="E19" i="130"/>
  <c r="E17" i="130"/>
  <c r="E15" i="130"/>
  <c r="E13" i="130"/>
  <c r="E11" i="130"/>
  <c r="E9" i="130"/>
  <c r="E7" i="130"/>
  <c r="E5" i="130"/>
  <c r="E18" i="130"/>
  <c r="E16" i="130"/>
  <c r="E14" i="130"/>
  <c r="E12" i="130"/>
  <c r="E10" i="130"/>
  <c r="E8" i="130"/>
  <c r="E6" i="130"/>
  <c r="L4" i="130"/>
  <c r="L29" i="130"/>
  <c r="L28" i="130"/>
  <c r="L27" i="130"/>
  <c r="L26" i="130"/>
  <c r="L25" i="130"/>
  <c r="L24" i="130"/>
  <c r="L23" i="130"/>
  <c r="L22" i="130"/>
  <c r="L21" i="130"/>
  <c r="L20" i="130"/>
  <c r="L19" i="130"/>
  <c r="L18" i="130"/>
  <c r="L17" i="130"/>
  <c r="L16" i="130"/>
  <c r="L15" i="130"/>
  <c r="L14" i="130"/>
  <c r="L13" i="130"/>
  <c r="L12" i="130"/>
  <c r="L11" i="130"/>
  <c r="L10" i="130"/>
  <c r="L9" i="130"/>
  <c r="L8" i="130"/>
  <c r="L7" i="130"/>
  <c r="L6" i="130"/>
  <c r="L5" i="130"/>
  <c r="H4" i="130"/>
  <c r="H29" i="130"/>
  <c r="H28" i="130"/>
  <c r="H27" i="130"/>
  <c r="H26" i="130"/>
  <c r="H25" i="130"/>
  <c r="H24" i="130"/>
  <c r="H23" i="130"/>
  <c r="H22" i="130"/>
  <c r="H21" i="130"/>
  <c r="H20" i="130"/>
  <c r="H19" i="130"/>
  <c r="H18" i="130"/>
  <c r="H17" i="130"/>
  <c r="H16" i="130"/>
  <c r="H15" i="130"/>
  <c r="H14" i="130"/>
  <c r="H13" i="130"/>
  <c r="H12" i="130"/>
  <c r="H11" i="130"/>
  <c r="H10" i="130"/>
  <c r="H9" i="130"/>
  <c r="H8" i="130"/>
  <c r="H7" i="130"/>
  <c r="H6" i="130"/>
  <c r="H5" i="130"/>
  <c r="K4" i="130"/>
  <c r="K29" i="130"/>
  <c r="K28" i="130"/>
  <c r="K27" i="130"/>
  <c r="K26" i="130"/>
  <c r="K25" i="130"/>
  <c r="K24" i="130"/>
  <c r="K23" i="130"/>
  <c r="K22" i="130"/>
  <c r="K21" i="130"/>
  <c r="K20" i="130"/>
  <c r="K19" i="130"/>
  <c r="K18" i="130"/>
  <c r="K17" i="130"/>
  <c r="K16" i="130"/>
  <c r="K15" i="130"/>
  <c r="K14" i="130"/>
  <c r="K13" i="130"/>
  <c r="K12" i="130"/>
  <c r="K11" i="130"/>
  <c r="K10" i="130"/>
  <c r="K9" i="130"/>
  <c r="K8" i="130"/>
  <c r="K7" i="130"/>
  <c r="K6" i="130"/>
  <c r="K5" i="130"/>
  <c r="G4" i="130"/>
  <c r="G29" i="130"/>
  <c r="G28" i="130"/>
  <c r="G27" i="130"/>
  <c r="G26" i="130"/>
  <c r="G25" i="130"/>
  <c r="G24" i="130"/>
  <c r="G23" i="130"/>
  <c r="G22" i="130"/>
  <c r="G21" i="130"/>
  <c r="G20" i="130"/>
  <c r="G19" i="130"/>
  <c r="G18" i="130"/>
  <c r="G17" i="130"/>
  <c r="G16" i="130"/>
  <c r="G15" i="130"/>
  <c r="G14" i="130"/>
  <c r="G13" i="130"/>
  <c r="G12" i="130"/>
  <c r="G11" i="130"/>
  <c r="G10" i="130"/>
  <c r="G9" i="130"/>
  <c r="G8" i="130"/>
  <c r="G7" i="130"/>
  <c r="G6" i="130"/>
  <c r="G5" i="130"/>
  <c r="J4" i="130"/>
  <c r="J29" i="130"/>
  <c r="J28" i="130"/>
  <c r="J27" i="130"/>
  <c r="J26" i="130"/>
  <c r="J25" i="130"/>
  <c r="J24" i="130"/>
  <c r="J23" i="130"/>
  <c r="J22" i="130"/>
  <c r="J21" i="130"/>
  <c r="J20" i="130"/>
  <c r="J19" i="130"/>
  <c r="J18" i="130"/>
  <c r="J17" i="130"/>
  <c r="J16" i="130"/>
  <c r="J15" i="130"/>
  <c r="J14" i="130"/>
  <c r="J13" i="130"/>
  <c r="J12" i="130"/>
  <c r="J11" i="130"/>
  <c r="J10" i="130"/>
  <c r="J9" i="130"/>
  <c r="J8" i="130"/>
  <c r="J7" i="130"/>
  <c r="J6" i="130"/>
  <c r="J5" i="130"/>
  <c r="F4" i="130"/>
  <c r="F29" i="130"/>
  <c r="F28" i="130"/>
  <c r="F27" i="130"/>
  <c r="F26" i="130"/>
  <c r="F25" i="130"/>
  <c r="F24" i="130"/>
  <c r="F23" i="130"/>
  <c r="F22" i="130"/>
  <c r="F21" i="130"/>
  <c r="F20" i="130"/>
  <c r="F19" i="130"/>
  <c r="F18" i="130"/>
  <c r="F17" i="130"/>
  <c r="F16" i="130"/>
  <c r="F15" i="130"/>
  <c r="F14" i="130"/>
  <c r="F13" i="130"/>
  <c r="F12" i="130"/>
  <c r="F11" i="130"/>
  <c r="F10" i="130"/>
  <c r="F9" i="130"/>
  <c r="F8" i="130"/>
  <c r="F7" i="130"/>
  <c r="F6" i="130"/>
  <c r="F5" i="130"/>
  <c r="L4" i="129"/>
  <c r="L29" i="129"/>
  <c r="L27" i="129"/>
  <c r="L25" i="129"/>
  <c r="L23" i="129"/>
  <c r="L21" i="129"/>
  <c r="L19" i="129"/>
  <c r="L17" i="129"/>
  <c r="L13" i="129"/>
  <c r="L11" i="129"/>
  <c r="L10" i="129"/>
  <c r="L9" i="129"/>
  <c r="L8" i="129"/>
  <c r="L7" i="129"/>
  <c r="L6" i="129"/>
  <c r="L5" i="129"/>
  <c r="L28" i="129"/>
  <c r="L26" i="129"/>
  <c r="L24" i="129"/>
  <c r="L22" i="129"/>
  <c r="L20" i="129"/>
  <c r="L18" i="129"/>
  <c r="L16" i="129"/>
  <c r="L14" i="129"/>
  <c r="L12" i="129"/>
  <c r="L15" i="129"/>
  <c r="H4" i="129"/>
  <c r="H28" i="129"/>
  <c r="H26" i="129"/>
  <c r="H24" i="129"/>
  <c r="H22" i="129"/>
  <c r="H20" i="129"/>
  <c r="H18" i="129"/>
  <c r="H16" i="129"/>
  <c r="H14" i="129"/>
  <c r="H12" i="129"/>
  <c r="H11" i="129"/>
  <c r="H10" i="129"/>
  <c r="H9" i="129"/>
  <c r="H8" i="129"/>
  <c r="H7" i="129"/>
  <c r="H6" i="129"/>
  <c r="H5" i="129"/>
  <c r="H29" i="129"/>
  <c r="H27" i="129"/>
  <c r="H25" i="129"/>
  <c r="H23" i="129"/>
  <c r="H21" i="129"/>
  <c r="H19" i="129"/>
  <c r="H17" i="129"/>
  <c r="H15" i="129"/>
  <c r="H13" i="129"/>
  <c r="K4" i="129"/>
  <c r="K29" i="129"/>
  <c r="K28" i="129"/>
  <c r="K27" i="129"/>
  <c r="K26" i="129"/>
  <c r="K25" i="129"/>
  <c r="K24" i="129"/>
  <c r="K23" i="129"/>
  <c r="K22" i="129"/>
  <c r="K21" i="129"/>
  <c r="K20" i="129"/>
  <c r="K19" i="129"/>
  <c r="K18" i="129"/>
  <c r="K17" i="129"/>
  <c r="K16" i="129"/>
  <c r="K15" i="129"/>
  <c r="K14" i="129"/>
  <c r="K13" i="129"/>
  <c r="K12" i="129"/>
  <c r="K11" i="129"/>
  <c r="K10" i="129"/>
  <c r="K9" i="129"/>
  <c r="K8" i="129"/>
  <c r="K7" i="129"/>
  <c r="K6" i="129"/>
  <c r="K5" i="129"/>
  <c r="G4" i="129"/>
  <c r="G29" i="129"/>
  <c r="G28" i="129"/>
  <c r="G27" i="129"/>
  <c r="G26" i="129"/>
  <c r="G25" i="129"/>
  <c r="G24" i="129"/>
  <c r="G23" i="129"/>
  <c r="G22" i="129"/>
  <c r="G21" i="129"/>
  <c r="G20" i="129"/>
  <c r="G19" i="129"/>
  <c r="G18" i="129"/>
  <c r="G17" i="129"/>
  <c r="G16" i="129"/>
  <c r="G15" i="129"/>
  <c r="G14" i="129"/>
  <c r="G13" i="129"/>
  <c r="G12" i="129"/>
  <c r="G11" i="129"/>
  <c r="G10" i="129"/>
  <c r="G9" i="129"/>
  <c r="G8" i="129"/>
  <c r="G7" i="129"/>
  <c r="G6" i="129"/>
  <c r="G5" i="129"/>
  <c r="J4" i="129"/>
  <c r="J29" i="129"/>
  <c r="J28" i="129"/>
  <c r="J27" i="129"/>
  <c r="J26" i="129"/>
  <c r="J25" i="129"/>
  <c r="J24" i="129"/>
  <c r="J23" i="129"/>
  <c r="J22" i="129"/>
  <c r="J21" i="129"/>
  <c r="J20" i="129"/>
  <c r="J19" i="129"/>
  <c r="J18" i="129"/>
  <c r="J17" i="129"/>
  <c r="J16" i="129"/>
  <c r="J15" i="129"/>
  <c r="J14" i="129"/>
  <c r="J13" i="129"/>
  <c r="J12" i="129"/>
  <c r="J11" i="129"/>
  <c r="J10" i="129"/>
  <c r="J9" i="129"/>
  <c r="J8" i="129"/>
  <c r="J7" i="129"/>
  <c r="J6" i="129"/>
  <c r="J5" i="129"/>
  <c r="F4" i="129"/>
  <c r="F29" i="129"/>
  <c r="F28" i="129"/>
  <c r="F27" i="129"/>
  <c r="F26" i="129"/>
  <c r="F25" i="129"/>
  <c r="F24" i="129"/>
  <c r="F23" i="129"/>
  <c r="F22" i="129"/>
  <c r="F21" i="129"/>
  <c r="F20" i="129"/>
  <c r="F19" i="129"/>
  <c r="F18" i="129"/>
  <c r="F17" i="129"/>
  <c r="F16" i="129"/>
  <c r="F15" i="129"/>
  <c r="F14" i="129"/>
  <c r="F13" i="129"/>
  <c r="F12" i="129"/>
  <c r="F10" i="129"/>
  <c r="F8" i="129"/>
  <c r="F6" i="129"/>
  <c r="F11" i="129"/>
  <c r="F9" i="129"/>
  <c r="F7" i="129"/>
  <c r="F5" i="129"/>
  <c r="I4" i="129"/>
  <c r="I29" i="129"/>
  <c r="I28" i="129"/>
  <c r="I27" i="129"/>
  <c r="I26" i="129"/>
  <c r="I25" i="129"/>
  <c r="I24" i="129"/>
  <c r="I23" i="129"/>
  <c r="I22" i="129"/>
  <c r="I21" i="129"/>
  <c r="I20" i="129"/>
  <c r="I19" i="129"/>
  <c r="I18" i="129"/>
  <c r="I17" i="129"/>
  <c r="I16" i="129"/>
  <c r="I15" i="129"/>
  <c r="I14" i="129"/>
  <c r="I13" i="129"/>
  <c r="I12" i="129"/>
  <c r="I11" i="129"/>
  <c r="I10" i="129"/>
  <c r="I9" i="129"/>
  <c r="I8" i="129"/>
  <c r="I7" i="129"/>
  <c r="I6" i="129"/>
  <c r="I5" i="129"/>
  <c r="E4" i="129"/>
  <c r="E29" i="129"/>
  <c r="E28" i="129"/>
  <c r="E27" i="129"/>
  <c r="E26" i="129"/>
  <c r="E25" i="129"/>
  <c r="E24" i="129"/>
  <c r="E23" i="129"/>
  <c r="E22" i="129"/>
  <c r="E21" i="129"/>
  <c r="E20" i="129"/>
  <c r="E19" i="129"/>
  <c r="E18" i="129"/>
  <c r="E17" i="129"/>
  <c r="E16" i="129"/>
  <c r="E15" i="129"/>
  <c r="E14" i="129"/>
  <c r="E13" i="129"/>
  <c r="E12" i="129"/>
  <c r="E11" i="129"/>
  <c r="E10" i="129"/>
  <c r="E9" i="129"/>
  <c r="E8" i="129"/>
  <c r="E7" i="129"/>
  <c r="E6" i="129"/>
  <c r="E5" i="129"/>
  <c r="H4" i="128"/>
  <c r="H29" i="128"/>
  <c r="H28" i="128"/>
  <c r="H27" i="128"/>
  <c r="H26" i="128"/>
  <c r="H25" i="128"/>
  <c r="H24" i="128"/>
  <c r="H23" i="128"/>
  <c r="H22" i="128"/>
  <c r="H21" i="128"/>
  <c r="H20" i="128"/>
  <c r="H19" i="128"/>
  <c r="H18" i="128"/>
  <c r="H17" i="128"/>
  <c r="H16" i="128"/>
  <c r="H15" i="128"/>
  <c r="H14" i="128"/>
  <c r="H13" i="128"/>
  <c r="H12" i="128"/>
  <c r="H11" i="128"/>
  <c r="H10" i="128"/>
  <c r="H9" i="128"/>
  <c r="H8" i="128"/>
  <c r="H7" i="128"/>
  <c r="H6" i="128"/>
  <c r="H5" i="128"/>
  <c r="G4" i="128"/>
  <c r="G29" i="128"/>
  <c r="G28" i="128"/>
  <c r="G27" i="128"/>
  <c r="G26" i="128"/>
  <c r="G25" i="128"/>
  <c r="G24" i="128"/>
  <c r="G23" i="128"/>
  <c r="G22" i="128"/>
  <c r="G21" i="128"/>
  <c r="G20" i="128"/>
  <c r="G19" i="128"/>
  <c r="G18" i="128"/>
  <c r="G17" i="128"/>
  <c r="G16" i="128"/>
  <c r="G15" i="128"/>
  <c r="G14" i="128"/>
  <c r="G13" i="128"/>
  <c r="G12" i="128"/>
  <c r="G11" i="128"/>
  <c r="G10" i="128"/>
  <c r="G9" i="128"/>
  <c r="G8" i="128"/>
  <c r="G7" i="128"/>
  <c r="G6" i="128"/>
  <c r="G5" i="128"/>
  <c r="J4" i="128"/>
  <c r="J29" i="128"/>
  <c r="J27" i="128"/>
  <c r="J25" i="128"/>
  <c r="J23" i="128"/>
  <c r="J21" i="128"/>
  <c r="J19" i="128"/>
  <c r="J17" i="128"/>
  <c r="J15" i="128"/>
  <c r="J13" i="128"/>
  <c r="J28" i="128"/>
  <c r="J24" i="128"/>
  <c r="J22" i="128"/>
  <c r="J20" i="128"/>
  <c r="J18" i="128"/>
  <c r="J16" i="128"/>
  <c r="J14" i="128"/>
  <c r="J11" i="128"/>
  <c r="J9" i="128"/>
  <c r="J8" i="128"/>
  <c r="J5" i="128"/>
  <c r="J26" i="128"/>
  <c r="J12" i="128"/>
  <c r="J10" i="128"/>
  <c r="J7" i="128"/>
  <c r="J6" i="128"/>
  <c r="F4" i="128"/>
  <c r="F28" i="128"/>
  <c r="F26" i="128"/>
  <c r="F24" i="128"/>
  <c r="F22" i="128"/>
  <c r="F20" i="128"/>
  <c r="F18" i="128"/>
  <c r="F16" i="128"/>
  <c r="F14" i="128"/>
  <c r="F12" i="128"/>
  <c r="F11" i="128"/>
  <c r="F10" i="128"/>
  <c r="F9" i="128"/>
  <c r="F8" i="128"/>
  <c r="F7" i="128"/>
  <c r="F6" i="128"/>
  <c r="F29" i="128"/>
  <c r="F27" i="128"/>
  <c r="F25" i="128"/>
  <c r="F23" i="128"/>
  <c r="F21" i="128"/>
  <c r="F19" i="128"/>
  <c r="F17" i="128"/>
  <c r="F15" i="128"/>
  <c r="F13" i="128"/>
  <c r="F5" i="128"/>
  <c r="L29" i="128"/>
  <c r="L28" i="128"/>
  <c r="L27" i="128"/>
  <c r="L26" i="128"/>
  <c r="L25" i="128"/>
  <c r="L24" i="128"/>
  <c r="L23" i="128"/>
  <c r="L22" i="128"/>
  <c r="L21" i="128"/>
  <c r="L20" i="128"/>
  <c r="L19" i="128"/>
  <c r="L18" i="128"/>
  <c r="L17" i="128"/>
  <c r="L16" i="128"/>
  <c r="L15" i="128"/>
  <c r="L14" i="128"/>
  <c r="L13" i="128"/>
  <c r="L12" i="128"/>
  <c r="L11" i="128"/>
  <c r="L10" i="128"/>
  <c r="L9" i="128"/>
  <c r="L8" i="128"/>
  <c r="L7" i="128"/>
  <c r="L6" i="128"/>
  <c r="L5" i="128"/>
  <c r="K4" i="128"/>
  <c r="K29" i="128"/>
  <c r="K28" i="128"/>
  <c r="K27" i="128"/>
  <c r="K26" i="128"/>
  <c r="K25" i="128"/>
  <c r="K24" i="128"/>
  <c r="K23" i="128"/>
  <c r="K22" i="128"/>
  <c r="K21" i="128"/>
  <c r="K20" i="128"/>
  <c r="K19" i="128"/>
  <c r="K18" i="128"/>
  <c r="K17" i="128"/>
  <c r="K16" i="128"/>
  <c r="K15" i="128"/>
  <c r="K14" i="128"/>
  <c r="K13" i="128"/>
  <c r="K12" i="128"/>
  <c r="K11" i="128"/>
  <c r="K10" i="128"/>
  <c r="K9" i="128"/>
  <c r="K8" i="128"/>
  <c r="K7" i="128"/>
  <c r="K6" i="128"/>
  <c r="K5" i="128"/>
  <c r="L4" i="128"/>
  <c r="I4" i="128"/>
  <c r="I29" i="128"/>
  <c r="I28" i="128"/>
  <c r="I27" i="128"/>
  <c r="I26" i="128"/>
  <c r="I25" i="128"/>
  <c r="I24" i="128"/>
  <c r="I23" i="128"/>
  <c r="I22" i="128"/>
  <c r="I21" i="128"/>
  <c r="I20" i="128"/>
  <c r="I19" i="128"/>
  <c r="I18" i="128"/>
  <c r="I17" i="128"/>
  <c r="I16" i="128"/>
  <c r="I15" i="128"/>
  <c r="I14" i="128"/>
  <c r="I13" i="128"/>
  <c r="I12" i="128"/>
  <c r="I11" i="128"/>
  <c r="I10" i="128"/>
  <c r="I9" i="128"/>
  <c r="I8" i="128"/>
  <c r="I7" i="128"/>
  <c r="I6" i="128"/>
  <c r="I5" i="128"/>
  <c r="E4" i="128"/>
  <c r="E29" i="128"/>
  <c r="E28" i="128"/>
  <c r="E27" i="128"/>
  <c r="E26" i="128"/>
  <c r="E25" i="128"/>
  <c r="E24" i="128"/>
  <c r="E23" i="128"/>
  <c r="E22" i="128"/>
  <c r="E21" i="128"/>
  <c r="E20" i="128"/>
  <c r="E19" i="128"/>
  <c r="E18" i="128"/>
  <c r="E17" i="128"/>
  <c r="E16" i="128"/>
  <c r="E15" i="128"/>
  <c r="E14" i="128"/>
  <c r="E13" i="128"/>
  <c r="E12" i="128"/>
  <c r="E11" i="128"/>
  <c r="E10" i="128"/>
  <c r="E9" i="128"/>
  <c r="E8" i="128"/>
  <c r="E7" i="128"/>
  <c r="E6" i="128"/>
  <c r="E5" i="128"/>
  <c r="L4" i="127"/>
  <c r="L29" i="127"/>
  <c r="L23" i="127"/>
  <c r="L19" i="127"/>
  <c r="L15" i="127"/>
  <c r="L11" i="127"/>
  <c r="L10" i="127"/>
  <c r="L9" i="127"/>
  <c r="L8" i="127"/>
  <c r="L7" i="127"/>
  <c r="L6" i="127"/>
  <c r="L5" i="127"/>
  <c r="L28" i="127"/>
  <c r="L26" i="127"/>
  <c r="L24" i="127"/>
  <c r="L22" i="127"/>
  <c r="L20" i="127"/>
  <c r="L18" i="127"/>
  <c r="L16" i="127"/>
  <c r="L14" i="127"/>
  <c r="L12" i="127"/>
  <c r="L27" i="127"/>
  <c r="L25" i="127"/>
  <c r="L21" i="127"/>
  <c r="L17" i="127"/>
  <c r="L13" i="127"/>
  <c r="H4" i="127"/>
  <c r="H28" i="127"/>
  <c r="H8" i="127"/>
  <c r="H29" i="127"/>
  <c r="H27" i="127"/>
  <c r="H25" i="127"/>
  <c r="H23" i="127"/>
  <c r="H21" i="127"/>
  <c r="H19" i="127"/>
  <c r="H17" i="127"/>
  <c r="H15" i="127"/>
  <c r="H13" i="127"/>
  <c r="H26" i="127"/>
  <c r="H24" i="127"/>
  <c r="H22" i="127"/>
  <c r="H20" i="127"/>
  <c r="H18" i="127"/>
  <c r="H16" i="127"/>
  <c r="H14" i="127"/>
  <c r="H12" i="127"/>
  <c r="H11" i="127"/>
  <c r="H10" i="127"/>
  <c r="H9" i="127"/>
  <c r="H7" i="127"/>
  <c r="H6" i="127"/>
  <c r="H5" i="127"/>
  <c r="K4" i="127"/>
  <c r="K29" i="127"/>
  <c r="K28" i="127"/>
  <c r="K27" i="127"/>
  <c r="K26" i="127"/>
  <c r="K25" i="127"/>
  <c r="K24" i="127"/>
  <c r="K23" i="127"/>
  <c r="K22" i="127"/>
  <c r="K21" i="127"/>
  <c r="K20" i="127"/>
  <c r="K19" i="127"/>
  <c r="K18" i="127"/>
  <c r="K17" i="127"/>
  <c r="K16" i="127"/>
  <c r="K15" i="127"/>
  <c r="K14" i="127"/>
  <c r="K13" i="127"/>
  <c r="K12" i="127"/>
  <c r="K11" i="127"/>
  <c r="K10" i="127"/>
  <c r="K9" i="127"/>
  <c r="K8" i="127"/>
  <c r="K7" i="127"/>
  <c r="K6" i="127"/>
  <c r="K5" i="127"/>
  <c r="G4" i="127"/>
  <c r="G29" i="127"/>
  <c r="G28" i="127"/>
  <c r="G27" i="127"/>
  <c r="G26" i="127"/>
  <c r="G25" i="127"/>
  <c r="G24" i="127"/>
  <c r="G23" i="127"/>
  <c r="G22" i="127"/>
  <c r="G21" i="127"/>
  <c r="G20" i="127"/>
  <c r="G19" i="127"/>
  <c r="G18" i="127"/>
  <c r="G17" i="127"/>
  <c r="G16" i="127"/>
  <c r="G15" i="127"/>
  <c r="G14" i="127"/>
  <c r="G13" i="127"/>
  <c r="G12" i="127"/>
  <c r="G11" i="127"/>
  <c r="G10" i="127"/>
  <c r="G9" i="127"/>
  <c r="G8" i="127"/>
  <c r="G7" i="127"/>
  <c r="G6" i="127"/>
  <c r="G5" i="127"/>
  <c r="J4" i="127"/>
  <c r="J29" i="127"/>
  <c r="J28" i="127"/>
  <c r="J27" i="127"/>
  <c r="J26" i="127"/>
  <c r="J25" i="127"/>
  <c r="J24" i="127"/>
  <c r="J23" i="127"/>
  <c r="J22" i="127"/>
  <c r="J21" i="127"/>
  <c r="J20" i="127"/>
  <c r="J19" i="127"/>
  <c r="J18" i="127"/>
  <c r="J17" i="127"/>
  <c r="J16" i="127"/>
  <c r="J15" i="127"/>
  <c r="J14" i="127"/>
  <c r="J13" i="127"/>
  <c r="J12" i="127"/>
  <c r="J11" i="127"/>
  <c r="J10" i="127"/>
  <c r="J9" i="127"/>
  <c r="J8" i="127"/>
  <c r="J7" i="127"/>
  <c r="J6" i="127"/>
  <c r="J5" i="127"/>
  <c r="F4" i="127"/>
  <c r="F29" i="127"/>
  <c r="F28" i="127"/>
  <c r="F27" i="127"/>
  <c r="F26" i="127"/>
  <c r="F25" i="127"/>
  <c r="F24" i="127"/>
  <c r="F23" i="127"/>
  <c r="F22" i="127"/>
  <c r="F21" i="127"/>
  <c r="F20" i="127"/>
  <c r="F19" i="127"/>
  <c r="F18" i="127"/>
  <c r="F17" i="127"/>
  <c r="F16" i="127"/>
  <c r="F15" i="127"/>
  <c r="F14" i="127"/>
  <c r="F13" i="127"/>
  <c r="F12" i="127"/>
  <c r="F9" i="127"/>
  <c r="F7" i="127"/>
  <c r="F5" i="127"/>
  <c r="F11" i="127"/>
  <c r="F10" i="127"/>
  <c r="F8" i="127"/>
  <c r="F6" i="127"/>
  <c r="I4" i="127"/>
  <c r="I29" i="127"/>
  <c r="I28" i="127"/>
  <c r="I27" i="127"/>
  <c r="I26" i="127"/>
  <c r="I25" i="127"/>
  <c r="I24" i="127"/>
  <c r="I23" i="127"/>
  <c r="I22" i="127"/>
  <c r="I21" i="127"/>
  <c r="I20" i="127"/>
  <c r="I19" i="127"/>
  <c r="I18" i="127"/>
  <c r="I17" i="127"/>
  <c r="I16" i="127"/>
  <c r="I15" i="127"/>
  <c r="I14" i="127"/>
  <c r="I13" i="127"/>
  <c r="I12" i="127"/>
  <c r="I11" i="127"/>
  <c r="I10" i="127"/>
  <c r="I9" i="127"/>
  <c r="I8" i="127"/>
  <c r="I7" i="127"/>
  <c r="I6" i="127"/>
  <c r="I5" i="127"/>
  <c r="E4" i="127"/>
  <c r="E29" i="127"/>
  <c r="E28" i="127"/>
  <c r="E27" i="127"/>
  <c r="E26" i="127"/>
  <c r="E25" i="127"/>
  <c r="E24" i="127"/>
  <c r="E23" i="127"/>
  <c r="E22" i="127"/>
  <c r="E21" i="127"/>
  <c r="E20" i="127"/>
  <c r="E19" i="127"/>
  <c r="E18" i="127"/>
  <c r="E17" i="127"/>
  <c r="E16" i="127"/>
  <c r="E15" i="127"/>
  <c r="E14" i="127"/>
  <c r="E13" i="127"/>
  <c r="E12" i="127"/>
  <c r="E11" i="127"/>
  <c r="E10" i="127"/>
  <c r="E9" i="127"/>
  <c r="E8" i="127"/>
  <c r="E7" i="127"/>
  <c r="E6" i="127"/>
  <c r="E5" i="127"/>
  <c r="E47" i="87"/>
  <c r="I4" i="133"/>
  <c r="I28" i="133"/>
  <c r="I27" i="133"/>
  <c r="I26" i="133"/>
  <c r="I25" i="133"/>
  <c r="I24" i="133"/>
  <c r="I23" i="133"/>
  <c r="I22" i="133"/>
  <c r="I21" i="133"/>
  <c r="I20" i="133"/>
  <c r="I19" i="133"/>
  <c r="I18" i="133"/>
  <c r="I17" i="133"/>
  <c r="I16" i="133"/>
  <c r="I15" i="133"/>
  <c r="I14" i="133"/>
  <c r="I13" i="133"/>
  <c r="I12" i="133"/>
  <c r="I11" i="133"/>
  <c r="I10" i="133"/>
  <c r="I9" i="133"/>
  <c r="I8" i="133"/>
  <c r="I7" i="133"/>
  <c r="I6" i="133"/>
  <c r="I5" i="133"/>
  <c r="F4" i="133"/>
  <c r="F28" i="133"/>
  <c r="F27" i="133"/>
  <c r="F23" i="133"/>
  <c r="F22" i="133"/>
  <c r="F26" i="133"/>
  <c r="F25" i="133"/>
  <c r="F24" i="133"/>
  <c r="F21" i="133"/>
  <c r="F17" i="133"/>
  <c r="F13" i="133"/>
  <c r="F9" i="133"/>
  <c r="F5" i="133"/>
  <c r="F20" i="133"/>
  <c r="F18" i="133"/>
  <c r="F16" i="133"/>
  <c r="F14" i="133"/>
  <c r="F12" i="133"/>
  <c r="F10" i="133"/>
  <c r="F8" i="133"/>
  <c r="F6" i="133"/>
  <c r="F19" i="133"/>
  <c r="F15" i="133"/>
  <c r="F11" i="133"/>
  <c r="F7" i="133"/>
  <c r="G4" i="133"/>
  <c r="G28" i="133"/>
  <c r="G26" i="133"/>
  <c r="G25" i="133"/>
  <c r="G24" i="133"/>
  <c r="G23" i="133"/>
  <c r="G22" i="133"/>
  <c r="G21" i="133"/>
  <c r="G20" i="133"/>
  <c r="G18" i="133"/>
  <c r="G17" i="133"/>
  <c r="G16" i="133"/>
  <c r="G15" i="133"/>
  <c r="G14" i="133"/>
  <c r="G13" i="133"/>
  <c r="G12" i="133"/>
  <c r="G11" i="133"/>
  <c r="G10" i="133"/>
  <c r="G6" i="133"/>
  <c r="G27" i="133"/>
  <c r="G19" i="133"/>
  <c r="G9" i="133"/>
  <c r="G8" i="133"/>
  <c r="G7" i="133"/>
  <c r="G5" i="133"/>
  <c r="K4" i="133"/>
  <c r="K19" i="133"/>
  <c r="K8" i="133"/>
  <c r="K7" i="133"/>
  <c r="K28" i="133"/>
  <c r="K27" i="133"/>
  <c r="K26" i="133"/>
  <c r="K25" i="133"/>
  <c r="K24" i="133"/>
  <c r="K23" i="133"/>
  <c r="K22" i="133"/>
  <c r="K21" i="133"/>
  <c r="K20" i="133"/>
  <c r="K18" i="133"/>
  <c r="K17" i="133"/>
  <c r="K16" i="133"/>
  <c r="K15" i="133"/>
  <c r="K14" i="133"/>
  <c r="K13" i="133"/>
  <c r="K12" i="133"/>
  <c r="K11" i="133"/>
  <c r="K10" i="133"/>
  <c r="K9" i="133"/>
  <c r="K6" i="133"/>
  <c r="K5" i="133"/>
  <c r="E4" i="133"/>
  <c r="E28" i="133"/>
  <c r="E27" i="133"/>
  <c r="E26" i="133"/>
  <c r="E25" i="133"/>
  <c r="E24" i="133"/>
  <c r="E23" i="133"/>
  <c r="E22" i="133"/>
  <c r="E21" i="133"/>
  <c r="E20" i="133"/>
  <c r="E19" i="133"/>
  <c r="E18" i="133"/>
  <c r="E17" i="133"/>
  <c r="E16" i="133"/>
  <c r="E15" i="133"/>
  <c r="E14" i="133"/>
  <c r="E13" i="133"/>
  <c r="E12" i="133"/>
  <c r="E11" i="133"/>
  <c r="E10" i="133"/>
  <c r="E9" i="133"/>
  <c r="E8" i="133"/>
  <c r="E7" i="133"/>
  <c r="E6" i="133"/>
  <c r="E5" i="133"/>
  <c r="J4" i="133"/>
  <c r="J25" i="133"/>
  <c r="J24" i="133"/>
  <c r="J20" i="133"/>
  <c r="J28" i="133"/>
  <c r="J27" i="133"/>
  <c r="J26" i="133"/>
  <c r="J23" i="133"/>
  <c r="J22" i="133"/>
  <c r="J21" i="133"/>
  <c r="J18" i="133"/>
  <c r="J16" i="133"/>
  <c r="J14" i="133"/>
  <c r="J12" i="133"/>
  <c r="J10" i="133"/>
  <c r="J8" i="133"/>
  <c r="J6" i="133"/>
  <c r="J19" i="133"/>
  <c r="J17" i="133"/>
  <c r="J15" i="133"/>
  <c r="J13" i="133"/>
  <c r="J11" i="133"/>
  <c r="J9" i="133"/>
  <c r="J7" i="133"/>
  <c r="J5" i="133"/>
  <c r="H4" i="133"/>
  <c r="H28" i="133"/>
  <c r="H27" i="133"/>
  <c r="H26" i="133"/>
  <c r="H25" i="133"/>
  <c r="H24" i="133"/>
  <c r="H23" i="133"/>
  <c r="H22" i="133"/>
  <c r="H21" i="133"/>
  <c r="H20" i="133"/>
  <c r="H19" i="133"/>
  <c r="H18" i="133"/>
  <c r="H17" i="133"/>
  <c r="H16" i="133"/>
  <c r="H15" i="133"/>
  <c r="H14" i="133"/>
  <c r="H13" i="133"/>
  <c r="H12" i="133"/>
  <c r="H11" i="133"/>
  <c r="H10" i="133"/>
  <c r="H9" i="133"/>
  <c r="H8" i="133"/>
  <c r="H7" i="133"/>
  <c r="H6" i="133"/>
  <c r="H5" i="133"/>
  <c r="L4" i="133"/>
  <c r="L28" i="133"/>
  <c r="L27" i="133"/>
  <c r="L26" i="133"/>
  <c r="L25" i="133"/>
  <c r="L24" i="133"/>
  <c r="L23" i="133"/>
  <c r="L22" i="133"/>
  <c r="L21" i="133"/>
  <c r="L20" i="133"/>
  <c r="L19" i="133"/>
  <c r="L18" i="133"/>
  <c r="L17" i="133"/>
  <c r="L16" i="133"/>
  <c r="L15" i="133"/>
  <c r="L14" i="133"/>
  <c r="L13" i="133"/>
  <c r="L12" i="133"/>
  <c r="L11" i="133"/>
  <c r="L10" i="133"/>
  <c r="L9" i="133"/>
  <c r="L8" i="133"/>
  <c r="L7" i="133"/>
  <c r="L6" i="133"/>
  <c r="L5" i="133"/>
  <c r="K10" i="77"/>
  <c r="E9" i="77"/>
  <c r="E10" i="77" s="1"/>
  <c r="I9" i="77"/>
  <c r="I10" i="77" s="1"/>
  <c r="M8" i="77"/>
  <c r="M10" i="77" s="1"/>
  <c r="P9" i="77"/>
  <c r="F79" i="162" s="1"/>
  <c r="L9" i="77"/>
  <c r="L10" i="77" s="1"/>
  <c r="H9" i="77"/>
  <c r="H10" i="77" s="1"/>
  <c r="P8" i="77"/>
  <c r="F78" i="162" s="1"/>
  <c r="G10" i="77"/>
  <c r="H47" i="82"/>
  <c r="H29" i="73"/>
  <c r="H28" i="73"/>
  <c r="H27" i="73"/>
  <c r="H26" i="73"/>
  <c r="H25" i="73"/>
  <c r="H24" i="73"/>
  <c r="H23" i="73"/>
  <c r="H22" i="73"/>
  <c r="H21" i="73"/>
  <c r="H20" i="73"/>
  <c r="H19" i="73"/>
  <c r="H18" i="73"/>
  <c r="H17" i="73"/>
  <c r="H16" i="73"/>
  <c r="H15" i="73"/>
  <c r="H14" i="73"/>
  <c r="H13" i="73"/>
  <c r="H12" i="73"/>
  <c r="H11" i="73"/>
  <c r="H10" i="73"/>
  <c r="H9" i="73"/>
  <c r="H8" i="73"/>
  <c r="H7" i="73"/>
  <c r="H5" i="73"/>
  <c r="H6" i="73"/>
  <c r="H34" i="73"/>
  <c r="F7" i="148" s="1"/>
  <c r="H33" i="73"/>
  <c r="H30" i="73"/>
  <c r="H31" i="73"/>
  <c r="H32" i="73"/>
  <c r="F5" i="148" s="1"/>
  <c r="H35" i="73"/>
  <c r="K47" i="82"/>
  <c r="K28" i="73"/>
  <c r="K26" i="73"/>
  <c r="K24" i="73"/>
  <c r="K22" i="73"/>
  <c r="K20" i="73"/>
  <c r="K18" i="73"/>
  <c r="K16" i="73"/>
  <c r="K14" i="73"/>
  <c r="K12" i="73"/>
  <c r="K10" i="73"/>
  <c r="K8" i="73"/>
  <c r="K7" i="73"/>
  <c r="K6" i="73"/>
  <c r="K5" i="73"/>
  <c r="K29" i="73"/>
  <c r="K25" i="73"/>
  <c r="K21" i="73"/>
  <c r="K17" i="73"/>
  <c r="K11" i="73"/>
  <c r="K27" i="73"/>
  <c r="K23" i="73"/>
  <c r="K19" i="73"/>
  <c r="K15" i="73"/>
  <c r="K13" i="73"/>
  <c r="K9" i="73"/>
  <c r="K33" i="73"/>
  <c r="G6" i="148" s="1"/>
  <c r="K34" i="73"/>
  <c r="G7" i="148" s="1"/>
  <c r="K31" i="73"/>
  <c r="G4" i="148" s="1"/>
  <c r="K30" i="73"/>
  <c r="K32" i="73"/>
  <c r="G5" i="148" s="1"/>
  <c r="K35" i="73"/>
  <c r="N47" i="82"/>
  <c r="N28" i="73"/>
  <c r="N29" i="73"/>
  <c r="N27" i="73"/>
  <c r="N25" i="73"/>
  <c r="N23" i="73"/>
  <c r="N21" i="73"/>
  <c r="N19" i="73"/>
  <c r="N17" i="73"/>
  <c r="N15" i="73"/>
  <c r="N13" i="73"/>
  <c r="N11" i="73"/>
  <c r="N9" i="73"/>
  <c r="N7" i="73"/>
  <c r="N6" i="73"/>
  <c r="N5" i="73"/>
  <c r="N24" i="73"/>
  <c r="N16" i="73"/>
  <c r="N8" i="73"/>
  <c r="N20" i="73"/>
  <c r="N12" i="73"/>
  <c r="N22" i="73"/>
  <c r="N26" i="73"/>
  <c r="N18" i="73"/>
  <c r="N10" i="73"/>
  <c r="N14" i="73"/>
  <c r="N33" i="73"/>
  <c r="H6" i="148" s="1"/>
  <c r="N34" i="73"/>
  <c r="N31" i="73"/>
  <c r="H4" i="148" s="1"/>
  <c r="N30" i="73"/>
  <c r="H3" i="148" s="1"/>
  <c r="N32" i="73"/>
  <c r="H5" i="148" s="1"/>
  <c r="N35" i="73"/>
  <c r="J47" i="82"/>
  <c r="J28" i="73"/>
  <c r="J26" i="73"/>
  <c r="J24" i="73"/>
  <c r="J22" i="73"/>
  <c r="J20" i="73"/>
  <c r="J18" i="73"/>
  <c r="J16" i="73"/>
  <c r="J14" i="73"/>
  <c r="J12" i="73"/>
  <c r="J10" i="73"/>
  <c r="J8" i="73"/>
  <c r="J7" i="73"/>
  <c r="J6" i="73"/>
  <c r="J5" i="73"/>
  <c r="J29" i="73"/>
  <c r="J27" i="73"/>
  <c r="J19" i="73"/>
  <c r="J11" i="73"/>
  <c r="J17" i="73"/>
  <c r="J21" i="73"/>
  <c r="J13" i="73"/>
  <c r="J23" i="73"/>
  <c r="J15" i="73"/>
  <c r="J25" i="73"/>
  <c r="J9" i="73"/>
  <c r="J33" i="73"/>
  <c r="F18" i="148" s="1"/>
  <c r="J34" i="73"/>
  <c r="J30" i="73"/>
  <c r="F15" i="148" s="1"/>
  <c r="J31" i="73"/>
  <c r="J32" i="73"/>
  <c r="F17" i="148" s="1"/>
  <c r="J35" i="73"/>
  <c r="F47" i="82"/>
  <c r="F29" i="73"/>
  <c r="F27" i="73"/>
  <c r="F25" i="73"/>
  <c r="F23" i="73"/>
  <c r="F21" i="73"/>
  <c r="F19" i="73"/>
  <c r="F17" i="73"/>
  <c r="F15" i="73"/>
  <c r="F13" i="73"/>
  <c r="F11" i="73"/>
  <c r="F9" i="73"/>
  <c r="F7" i="73"/>
  <c r="F6" i="73"/>
  <c r="F5" i="73"/>
  <c r="F22" i="73"/>
  <c r="F14" i="73"/>
  <c r="F26" i="73"/>
  <c r="F28" i="73"/>
  <c r="F12" i="73"/>
  <c r="F24" i="73"/>
  <c r="F16" i="73"/>
  <c r="F8" i="73"/>
  <c r="F18" i="73"/>
  <c r="F10" i="73"/>
  <c r="F20" i="73"/>
  <c r="F34" i="73"/>
  <c r="E13" i="148" s="1"/>
  <c r="F33" i="73"/>
  <c r="E12" i="148" s="1"/>
  <c r="F30" i="73"/>
  <c r="E9" i="148" s="1"/>
  <c r="F32" i="73"/>
  <c r="E11" i="148" s="1"/>
  <c r="F31" i="73"/>
  <c r="E10" i="148" s="1"/>
  <c r="F35" i="73"/>
  <c r="P47" i="82"/>
  <c r="P29" i="73"/>
  <c r="P28" i="73"/>
  <c r="P27" i="73"/>
  <c r="P26" i="73"/>
  <c r="P25" i="73"/>
  <c r="P24" i="73"/>
  <c r="P23" i="73"/>
  <c r="P22" i="73"/>
  <c r="P21" i="73"/>
  <c r="P20" i="73"/>
  <c r="P19" i="73"/>
  <c r="P18" i="73"/>
  <c r="P17" i="73"/>
  <c r="P16" i="73"/>
  <c r="P15" i="73"/>
  <c r="P14" i="73"/>
  <c r="P13" i="73"/>
  <c r="P12" i="73"/>
  <c r="P11" i="73"/>
  <c r="P10" i="73"/>
  <c r="P9" i="73"/>
  <c r="P8" i="73"/>
  <c r="P7" i="73"/>
  <c r="P6" i="73"/>
  <c r="P5" i="73"/>
  <c r="P34" i="73"/>
  <c r="H19" i="148" s="1"/>
  <c r="P33" i="73"/>
  <c r="P32" i="73"/>
  <c r="H17" i="148" s="1"/>
  <c r="P30" i="73"/>
  <c r="P31" i="73"/>
  <c r="H16" i="148" s="1"/>
  <c r="P35" i="73"/>
  <c r="L47" i="82"/>
  <c r="L29" i="73"/>
  <c r="L28" i="73"/>
  <c r="L27" i="73"/>
  <c r="L26" i="73"/>
  <c r="L25" i="73"/>
  <c r="L24" i="73"/>
  <c r="L23" i="73"/>
  <c r="L22" i="73"/>
  <c r="L21" i="73"/>
  <c r="L20" i="73"/>
  <c r="L19" i="73"/>
  <c r="L18" i="73"/>
  <c r="L17" i="73"/>
  <c r="L16" i="73"/>
  <c r="L15" i="73"/>
  <c r="L14" i="73"/>
  <c r="L13" i="73"/>
  <c r="L12" i="73"/>
  <c r="L11" i="73"/>
  <c r="L10" i="73"/>
  <c r="L9" i="73"/>
  <c r="L8" i="73"/>
  <c r="L5" i="73"/>
  <c r="L7" i="73"/>
  <c r="L6" i="73"/>
  <c r="L34" i="73"/>
  <c r="G13" i="148" s="1"/>
  <c r="L33" i="73"/>
  <c r="L31" i="73"/>
  <c r="G10" i="148" s="1"/>
  <c r="L32" i="73"/>
  <c r="L30" i="73"/>
  <c r="G9" i="148" s="1"/>
  <c r="L35" i="73"/>
  <c r="O47" i="82"/>
  <c r="O29" i="73"/>
  <c r="O27" i="73"/>
  <c r="O25" i="73"/>
  <c r="O23" i="73"/>
  <c r="O21" i="73"/>
  <c r="O19" i="73"/>
  <c r="O17" i="73"/>
  <c r="O15" i="73"/>
  <c r="O13" i="73"/>
  <c r="O11" i="73"/>
  <c r="O9" i="73"/>
  <c r="O7" i="73"/>
  <c r="O6" i="73"/>
  <c r="O5" i="73"/>
  <c r="O26" i="73"/>
  <c r="O22" i="73"/>
  <c r="O18" i="73"/>
  <c r="O14" i="73"/>
  <c r="O12" i="73"/>
  <c r="O8" i="73"/>
  <c r="O28" i="73"/>
  <c r="O24" i="73"/>
  <c r="O20" i="73"/>
  <c r="O16" i="73"/>
  <c r="O10" i="73"/>
  <c r="O34" i="73"/>
  <c r="H13" i="148" s="1"/>
  <c r="O33" i="73"/>
  <c r="H12" i="148" s="1"/>
  <c r="O31" i="73"/>
  <c r="H10" i="148" s="1"/>
  <c r="O30" i="73"/>
  <c r="H9" i="148" s="1"/>
  <c r="O32" i="73"/>
  <c r="H11" i="148" s="1"/>
  <c r="O35" i="73"/>
  <c r="G47" i="82"/>
  <c r="G29" i="73"/>
  <c r="G27" i="73"/>
  <c r="G25" i="73"/>
  <c r="G23" i="73"/>
  <c r="G21" i="73"/>
  <c r="G19" i="73"/>
  <c r="G17" i="73"/>
  <c r="G15" i="73"/>
  <c r="G13" i="73"/>
  <c r="G11" i="73"/>
  <c r="G9" i="73"/>
  <c r="G7" i="73"/>
  <c r="G6" i="73"/>
  <c r="G5" i="73"/>
  <c r="G28" i="73"/>
  <c r="G24" i="73"/>
  <c r="G20" i="73"/>
  <c r="G16" i="73"/>
  <c r="G10" i="73"/>
  <c r="G26" i="73"/>
  <c r="G22" i="73"/>
  <c r="G18" i="73"/>
  <c r="G14" i="73"/>
  <c r="G12" i="73"/>
  <c r="G8" i="73"/>
  <c r="G34" i="73"/>
  <c r="E19" i="148" s="1"/>
  <c r="G33" i="73"/>
  <c r="E18" i="148" s="1"/>
  <c r="G32" i="73"/>
  <c r="E17" i="148" s="1"/>
  <c r="G31" i="73"/>
  <c r="E16" i="148" s="1"/>
  <c r="G30" i="73"/>
  <c r="E15" i="148" s="1"/>
  <c r="G35" i="73"/>
  <c r="M47" i="82"/>
  <c r="M29" i="73"/>
  <c r="M28" i="73"/>
  <c r="M27" i="73"/>
  <c r="M26" i="73"/>
  <c r="M25" i="73"/>
  <c r="M24" i="73"/>
  <c r="M23" i="73"/>
  <c r="M22" i="73"/>
  <c r="M21" i="73"/>
  <c r="M20" i="73"/>
  <c r="M19" i="73"/>
  <c r="M18" i="73"/>
  <c r="M17" i="73"/>
  <c r="M16" i="73"/>
  <c r="M15" i="73"/>
  <c r="M14" i="73"/>
  <c r="M13" i="73"/>
  <c r="M12" i="73"/>
  <c r="M11" i="73"/>
  <c r="M10" i="73"/>
  <c r="M9" i="73"/>
  <c r="M8" i="73"/>
  <c r="M7" i="73"/>
  <c r="M6" i="73"/>
  <c r="M5" i="73"/>
  <c r="M34" i="73"/>
  <c r="M33" i="73"/>
  <c r="G18" i="148" s="1"/>
  <c r="M31" i="73"/>
  <c r="G16" i="148" s="1"/>
  <c r="M30" i="73"/>
  <c r="G15" i="148" s="1"/>
  <c r="M32" i="73"/>
  <c r="G17" i="148" s="1"/>
  <c r="M35" i="73"/>
  <c r="I47" i="82"/>
  <c r="I29" i="73"/>
  <c r="I28" i="73"/>
  <c r="I27" i="73"/>
  <c r="I26" i="73"/>
  <c r="I25" i="73"/>
  <c r="I24" i="73"/>
  <c r="I23" i="73"/>
  <c r="I22" i="73"/>
  <c r="I21" i="73"/>
  <c r="I20" i="73"/>
  <c r="I19" i="73"/>
  <c r="I18" i="73"/>
  <c r="I17" i="73"/>
  <c r="I16" i="73"/>
  <c r="I15" i="73"/>
  <c r="I14" i="73"/>
  <c r="I13" i="73"/>
  <c r="I12" i="73"/>
  <c r="I11" i="73"/>
  <c r="I10" i="73"/>
  <c r="I9" i="73"/>
  <c r="I8" i="73"/>
  <c r="I5" i="73"/>
  <c r="I7" i="73"/>
  <c r="I6" i="73"/>
  <c r="I33" i="73"/>
  <c r="F12" i="148" s="1"/>
  <c r="I34" i="73"/>
  <c r="F13" i="148" s="1"/>
  <c r="I30" i="73"/>
  <c r="F9" i="148" s="1"/>
  <c r="I31" i="73"/>
  <c r="I32" i="73"/>
  <c r="F11" i="148" s="1"/>
  <c r="I35" i="73"/>
  <c r="E41" i="85"/>
  <c r="E29" i="73"/>
  <c r="E28" i="73"/>
  <c r="E27" i="73"/>
  <c r="E26" i="73"/>
  <c r="E25" i="73"/>
  <c r="E24" i="73"/>
  <c r="E23" i="73"/>
  <c r="E22" i="73"/>
  <c r="E21" i="73"/>
  <c r="E20" i="73"/>
  <c r="E19" i="73"/>
  <c r="E18" i="73"/>
  <c r="E17" i="73"/>
  <c r="E16" i="73"/>
  <c r="E15" i="73"/>
  <c r="E14" i="73"/>
  <c r="E13" i="73"/>
  <c r="E12" i="73"/>
  <c r="E11" i="73"/>
  <c r="E10" i="73"/>
  <c r="E9" i="73"/>
  <c r="E8" i="73"/>
  <c r="E7" i="73"/>
  <c r="E6" i="73"/>
  <c r="E5" i="73"/>
  <c r="E33" i="73"/>
  <c r="E6" i="148" s="1"/>
  <c r="E34" i="73"/>
  <c r="E30" i="73"/>
  <c r="E3" i="148" s="1"/>
  <c r="E31" i="73"/>
  <c r="E4" i="148" s="1"/>
  <c r="E32" i="73"/>
  <c r="E5" i="148" s="1"/>
  <c r="E35" i="73"/>
  <c r="K4" i="138"/>
  <c r="K29" i="138"/>
  <c r="K28" i="138"/>
  <c r="K27" i="138"/>
  <c r="K26" i="138"/>
  <c r="K25" i="138"/>
  <c r="K24" i="138"/>
  <c r="K23" i="138"/>
  <c r="K22" i="138"/>
  <c r="K21" i="138"/>
  <c r="K19" i="138"/>
  <c r="K17" i="138"/>
  <c r="K15" i="138"/>
  <c r="K13" i="138"/>
  <c r="K11" i="138"/>
  <c r="K9" i="138"/>
  <c r="K7" i="138"/>
  <c r="K5" i="138"/>
  <c r="K20" i="138"/>
  <c r="K14" i="138"/>
  <c r="K8" i="138"/>
  <c r="K6" i="138"/>
  <c r="K18" i="138"/>
  <c r="K16" i="138"/>
  <c r="K12" i="138"/>
  <c r="K10" i="138"/>
  <c r="F4" i="138"/>
  <c r="F29" i="138"/>
  <c r="F28" i="138"/>
  <c r="F27" i="138"/>
  <c r="F26" i="138"/>
  <c r="F25" i="138"/>
  <c r="F24" i="138"/>
  <c r="F23" i="138"/>
  <c r="F22" i="138"/>
  <c r="F21" i="138"/>
  <c r="F20" i="138"/>
  <c r="F19" i="138"/>
  <c r="F18" i="138"/>
  <c r="F17" i="138"/>
  <c r="F16" i="138"/>
  <c r="F15" i="138"/>
  <c r="F14" i="138"/>
  <c r="F13" i="138"/>
  <c r="F12" i="138"/>
  <c r="F11" i="138"/>
  <c r="F10" i="138"/>
  <c r="F9" i="138"/>
  <c r="F8" i="138"/>
  <c r="F7" i="138"/>
  <c r="F6" i="138"/>
  <c r="F5" i="138"/>
  <c r="L4" i="138"/>
  <c r="L21" i="138"/>
  <c r="L20" i="138"/>
  <c r="L19" i="138"/>
  <c r="L18" i="138"/>
  <c r="L17" i="138"/>
  <c r="L12" i="138"/>
  <c r="L11" i="138"/>
  <c r="L10" i="138"/>
  <c r="L9" i="138"/>
  <c r="L8" i="138"/>
  <c r="L29" i="138"/>
  <c r="L28" i="138"/>
  <c r="L27" i="138"/>
  <c r="L26" i="138"/>
  <c r="L25" i="138"/>
  <c r="L24" i="138"/>
  <c r="L23" i="138"/>
  <c r="L22" i="138"/>
  <c r="L16" i="138"/>
  <c r="L15" i="138"/>
  <c r="L14" i="138"/>
  <c r="L13" i="138"/>
  <c r="L7" i="138"/>
  <c r="L6" i="138"/>
  <c r="L5" i="138"/>
  <c r="H4" i="138"/>
  <c r="H29" i="138"/>
  <c r="H28" i="138"/>
  <c r="H27" i="138"/>
  <c r="H26" i="138"/>
  <c r="H25" i="138"/>
  <c r="H24" i="138"/>
  <c r="H23" i="138"/>
  <c r="H22" i="138"/>
  <c r="H17" i="138"/>
  <c r="H16" i="138"/>
  <c r="H15" i="138"/>
  <c r="H14" i="138"/>
  <c r="H8" i="138"/>
  <c r="H7" i="138"/>
  <c r="H6" i="138"/>
  <c r="H5" i="138"/>
  <c r="H21" i="138"/>
  <c r="H20" i="138"/>
  <c r="H19" i="138"/>
  <c r="H18" i="138"/>
  <c r="H13" i="138"/>
  <c r="H12" i="138"/>
  <c r="H11" i="138"/>
  <c r="H10" i="138"/>
  <c r="H9" i="138"/>
  <c r="G4" i="138"/>
  <c r="G29" i="138"/>
  <c r="G28" i="138"/>
  <c r="G27" i="138"/>
  <c r="G26" i="138"/>
  <c r="G25" i="138"/>
  <c r="G24" i="138"/>
  <c r="G23" i="138"/>
  <c r="G22" i="138"/>
  <c r="G21" i="138"/>
  <c r="G17" i="138"/>
  <c r="G13" i="138"/>
  <c r="G11" i="138"/>
  <c r="G7" i="138"/>
  <c r="G20" i="138"/>
  <c r="G18" i="138"/>
  <c r="G16" i="138"/>
  <c r="G14" i="138"/>
  <c r="G12" i="138"/>
  <c r="G10" i="138"/>
  <c r="G8" i="138"/>
  <c r="G6" i="138"/>
  <c r="G19" i="138"/>
  <c r="G15" i="138"/>
  <c r="G9" i="138"/>
  <c r="G5" i="138"/>
  <c r="J4" i="138"/>
  <c r="J29" i="138"/>
  <c r="J28" i="138"/>
  <c r="J27" i="138"/>
  <c r="J26" i="138"/>
  <c r="J25" i="138"/>
  <c r="J24" i="138"/>
  <c r="J23" i="138"/>
  <c r="J22" i="138"/>
  <c r="J21" i="138"/>
  <c r="J20" i="138"/>
  <c r="J19" i="138"/>
  <c r="J18" i="138"/>
  <c r="J17" i="138"/>
  <c r="J16" i="138"/>
  <c r="J15" i="138"/>
  <c r="J14" i="138"/>
  <c r="J13" i="138"/>
  <c r="J12" i="138"/>
  <c r="J11" i="138"/>
  <c r="J10" i="138"/>
  <c r="J9" i="138"/>
  <c r="J8" i="138"/>
  <c r="J7" i="138"/>
  <c r="J6" i="138"/>
  <c r="J5" i="138"/>
  <c r="I4" i="138"/>
  <c r="I29" i="138"/>
  <c r="I28" i="138"/>
  <c r="I27" i="138"/>
  <c r="I26" i="138"/>
  <c r="I25" i="138"/>
  <c r="I24" i="138"/>
  <c r="I23" i="138"/>
  <c r="I22" i="138"/>
  <c r="I21" i="138"/>
  <c r="I20" i="138"/>
  <c r="I19" i="138"/>
  <c r="I18" i="138"/>
  <c r="I17" i="138"/>
  <c r="I16" i="138"/>
  <c r="I15" i="138"/>
  <c r="I14" i="138"/>
  <c r="I13" i="138"/>
  <c r="I12" i="138"/>
  <c r="I11" i="138"/>
  <c r="I10" i="138"/>
  <c r="I9" i="138"/>
  <c r="I8" i="138"/>
  <c r="I7" i="138"/>
  <c r="I6" i="138"/>
  <c r="I5" i="138"/>
  <c r="E4" i="138"/>
  <c r="E29" i="138"/>
  <c r="E28" i="138"/>
  <c r="E27" i="138"/>
  <c r="E26" i="138"/>
  <c r="E25" i="138"/>
  <c r="E24" i="138"/>
  <c r="E23" i="138"/>
  <c r="E22" i="138"/>
  <c r="E21" i="138"/>
  <c r="E20" i="138"/>
  <c r="E19" i="138"/>
  <c r="E18" i="138"/>
  <c r="E17" i="138"/>
  <c r="E16" i="138"/>
  <c r="E15" i="138"/>
  <c r="E14" i="138"/>
  <c r="E13" i="138"/>
  <c r="E12" i="138"/>
  <c r="E11" i="138"/>
  <c r="E10" i="138"/>
  <c r="E9" i="138"/>
  <c r="E8" i="138"/>
  <c r="E7" i="138"/>
  <c r="E6" i="138"/>
  <c r="E5" i="138"/>
  <c r="H4" i="126"/>
  <c r="H29" i="126"/>
  <c r="H28" i="126"/>
  <c r="H27" i="126"/>
  <c r="H26" i="126"/>
  <c r="H25" i="126"/>
  <c r="H24" i="126"/>
  <c r="H23" i="126"/>
  <c r="H22" i="126"/>
  <c r="H21" i="126"/>
  <c r="H20" i="126"/>
  <c r="H19" i="126"/>
  <c r="H18" i="126"/>
  <c r="H17" i="126"/>
  <c r="H16" i="126"/>
  <c r="H15" i="126"/>
  <c r="H14" i="126"/>
  <c r="H13" i="126"/>
  <c r="H12" i="126"/>
  <c r="H11" i="126"/>
  <c r="H10" i="126"/>
  <c r="H9" i="126"/>
  <c r="H8" i="126"/>
  <c r="H7" i="126"/>
  <c r="H6" i="126"/>
  <c r="H5" i="126"/>
  <c r="G4" i="126"/>
  <c r="G29" i="126"/>
  <c r="G28" i="126"/>
  <c r="G27" i="126"/>
  <c r="G26" i="126"/>
  <c r="G25" i="126"/>
  <c r="G24" i="126"/>
  <c r="G23" i="126"/>
  <c r="G22" i="126"/>
  <c r="G21" i="126"/>
  <c r="G20" i="126"/>
  <c r="G19" i="126"/>
  <c r="G18" i="126"/>
  <c r="G17" i="126"/>
  <c r="G16" i="126"/>
  <c r="G15" i="126"/>
  <c r="G14" i="126"/>
  <c r="G13" i="126"/>
  <c r="G12" i="126"/>
  <c r="G11" i="126"/>
  <c r="G10" i="126"/>
  <c r="G9" i="126"/>
  <c r="G8" i="126"/>
  <c r="G7" i="126"/>
  <c r="G6" i="126"/>
  <c r="G5" i="126"/>
  <c r="J4" i="126"/>
  <c r="J29" i="126"/>
  <c r="J28" i="126"/>
  <c r="J27" i="126"/>
  <c r="J26" i="126"/>
  <c r="J25" i="126"/>
  <c r="J24" i="126"/>
  <c r="J23" i="126"/>
  <c r="J22" i="126"/>
  <c r="J21" i="126"/>
  <c r="J20" i="126"/>
  <c r="J19" i="126"/>
  <c r="J18" i="126"/>
  <c r="J17" i="126"/>
  <c r="J16" i="126"/>
  <c r="J15" i="126"/>
  <c r="J14" i="126"/>
  <c r="J13" i="126"/>
  <c r="J12" i="126"/>
  <c r="J11" i="126"/>
  <c r="J10" i="126"/>
  <c r="J5" i="126"/>
  <c r="J9" i="126"/>
  <c r="J8" i="126"/>
  <c r="J7" i="126"/>
  <c r="J6" i="126"/>
  <c r="F4" i="126"/>
  <c r="F9" i="126"/>
  <c r="F8" i="126"/>
  <c r="F7" i="126"/>
  <c r="F29" i="126"/>
  <c r="F28" i="126"/>
  <c r="F27" i="126"/>
  <c r="F26" i="126"/>
  <c r="F25" i="126"/>
  <c r="F24" i="126"/>
  <c r="F23" i="126"/>
  <c r="F22" i="126"/>
  <c r="F21" i="126"/>
  <c r="F20" i="126"/>
  <c r="F19" i="126"/>
  <c r="F18" i="126"/>
  <c r="F17" i="126"/>
  <c r="F16" i="126"/>
  <c r="F15" i="126"/>
  <c r="F14" i="126"/>
  <c r="F13" i="126"/>
  <c r="F12" i="126"/>
  <c r="F11" i="126"/>
  <c r="F10" i="126"/>
  <c r="F6" i="126"/>
  <c r="F5" i="126"/>
  <c r="L4" i="126"/>
  <c r="L29" i="126"/>
  <c r="L28" i="126"/>
  <c r="L27" i="126"/>
  <c r="L26" i="126"/>
  <c r="L25" i="126"/>
  <c r="L24" i="126"/>
  <c r="L23" i="126"/>
  <c r="L22" i="126"/>
  <c r="L21" i="126"/>
  <c r="L20" i="126"/>
  <c r="L19" i="126"/>
  <c r="L18" i="126"/>
  <c r="L17" i="126"/>
  <c r="L16" i="126"/>
  <c r="L15" i="126"/>
  <c r="L14" i="126"/>
  <c r="L13" i="126"/>
  <c r="L12" i="126"/>
  <c r="L11" i="126"/>
  <c r="L10" i="126"/>
  <c r="L9" i="126"/>
  <c r="L8" i="126"/>
  <c r="L7" i="126"/>
  <c r="L6" i="126"/>
  <c r="L5" i="126"/>
  <c r="K4" i="126"/>
  <c r="K29" i="126"/>
  <c r="K28" i="126"/>
  <c r="K27" i="126"/>
  <c r="K26" i="126"/>
  <c r="K25" i="126"/>
  <c r="K24" i="126"/>
  <c r="K23" i="126"/>
  <c r="K22" i="126"/>
  <c r="K21" i="126"/>
  <c r="K20" i="126"/>
  <c r="K19" i="126"/>
  <c r="K18" i="126"/>
  <c r="K17" i="126"/>
  <c r="K16" i="126"/>
  <c r="K15" i="126"/>
  <c r="K14" i="126"/>
  <c r="K13" i="126"/>
  <c r="K12" i="126"/>
  <c r="K11" i="126"/>
  <c r="K10" i="126"/>
  <c r="K9" i="126"/>
  <c r="K8" i="126"/>
  <c r="K7" i="126"/>
  <c r="K6" i="126"/>
  <c r="K5" i="126"/>
  <c r="I4" i="126"/>
  <c r="I29" i="126"/>
  <c r="I28" i="126"/>
  <c r="I27" i="126"/>
  <c r="I26" i="126"/>
  <c r="I25" i="126"/>
  <c r="I24" i="126"/>
  <c r="I23" i="126"/>
  <c r="I22" i="126"/>
  <c r="I21" i="126"/>
  <c r="I20" i="126"/>
  <c r="I18" i="126"/>
  <c r="I16" i="126"/>
  <c r="I14" i="126"/>
  <c r="I12" i="126"/>
  <c r="I10" i="126"/>
  <c r="I8" i="126"/>
  <c r="I6" i="126"/>
  <c r="I19" i="126"/>
  <c r="I17" i="126"/>
  <c r="I15" i="126"/>
  <c r="I13" i="126"/>
  <c r="I11" i="126"/>
  <c r="I9" i="126"/>
  <c r="I7" i="126"/>
  <c r="I5" i="126"/>
  <c r="E4" i="126"/>
  <c r="E28" i="126"/>
  <c r="E27" i="126"/>
  <c r="E26" i="126"/>
  <c r="E25" i="126"/>
  <c r="E24" i="126"/>
  <c r="E23" i="126"/>
  <c r="E22" i="126"/>
  <c r="E21" i="126"/>
  <c r="E29" i="126"/>
  <c r="E20" i="126"/>
  <c r="E18" i="126"/>
  <c r="E16" i="126"/>
  <c r="E14" i="126"/>
  <c r="E12" i="126"/>
  <c r="E10" i="126"/>
  <c r="E8" i="126"/>
  <c r="E6" i="126"/>
  <c r="E19" i="126"/>
  <c r="E17" i="126"/>
  <c r="E15" i="126"/>
  <c r="E13" i="126"/>
  <c r="E11" i="126"/>
  <c r="E9" i="126"/>
  <c r="E7" i="126"/>
  <c r="E5" i="126"/>
  <c r="E25" i="83"/>
  <c r="E26" i="83"/>
  <c r="E27" i="83"/>
  <c r="E28" i="83"/>
  <c r="E29" i="83"/>
  <c r="E30" i="83"/>
  <c r="E31" i="83"/>
  <c r="E32" i="83"/>
  <c r="E33" i="83"/>
  <c r="E34" i="83"/>
  <c r="E35" i="83"/>
  <c r="E36" i="83"/>
  <c r="E37" i="83"/>
  <c r="E38" i="83"/>
  <c r="R38" i="83" s="1"/>
  <c r="O10" i="77"/>
  <c r="E80" i="162" s="1"/>
  <c r="P4" i="73"/>
  <c r="E4" i="83"/>
  <c r="I41" i="85"/>
  <c r="E8" i="176"/>
  <c r="O35" i="173"/>
  <c r="G7" i="176"/>
  <c r="M35" i="173"/>
  <c r="D7" i="176"/>
  <c r="H8" i="175"/>
  <c r="K35" i="173"/>
  <c r="I4" i="73"/>
  <c r="E6" i="176"/>
  <c r="I35" i="173"/>
  <c r="G4" i="73"/>
  <c r="G5" i="176"/>
  <c r="G35" i="173"/>
  <c r="D5" i="176"/>
  <c r="H6" i="175"/>
  <c r="E35" i="173"/>
  <c r="P31" i="74"/>
  <c r="G8" i="176"/>
  <c r="P35" i="173"/>
  <c r="D8" i="176"/>
  <c r="H9" i="175"/>
  <c r="N35" i="173"/>
  <c r="E7" i="176"/>
  <c r="L35" i="173"/>
  <c r="G6" i="176"/>
  <c r="J35" i="173"/>
  <c r="D6" i="176"/>
  <c r="H7" i="175"/>
  <c r="H35" i="173"/>
  <c r="F4" i="73"/>
  <c r="E5" i="176"/>
  <c r="F35" i="173"/>
  <c r="J4" i="73"/>
  <c r="N4" i="73"/>
  <c r="H4" i="73"/>
  <c r="K23" i="74"/>
  <c r="E56" i="177" s="1"/>
  <c r="K21" i="74"/>
  <c r="E54" i="177" s="1"/>
  <c r="K24" i="74"/>
  <c r="K22" i="74"/>
  <c r="E55" i="177" s="1"/>
  <c r="K17" i="74"/>
  <c r="E50" i="177" s="1"/>
  <c r="M24" i="74"/>
  <c r="M23" i="74"/>
  <c r="M22" i="74"/>
  <c r="M21" i="74"/>
  <c r="P17" i="74"/>
  <c r="P15" i="74"/>
  <c r="O19" i="74"/>
  <c r="E4" i="73"/>
  <c r="L16" i="74"/>
  <c r="O15" i="74"/>
  <c r="L15" i="74"/>
  <c r="O4" i="73"/>
  <c r="K4" i="73"/>
  <c r="E31" i="74"/>
  <c r="E4" i="124"/>
  <c r="G4" i="124"/>
  <c r="I4" i="124"/>
  <c r="K4" i="124"/>
  <c r="J43" i="87"/>
  <c r="O24" i="74"/>
  <c r="L24" i="74"/>
  <c r="O23" i="74"/>
  <c r="L23" i="74"/>
  <c r="O22" i="74"/>
  <c r="L22" i="74"/>
  <c r="O21" i="74"/>
  <c r="L21" i="74"/>
  <c r="O20" i="74"/>
  <c r="O18" i="74"/>
  <c r="F31" i="74"/>
  <c r="N31" i="74"/>
  <c r="H31" i="74"/>
  <c r="M17" i="74"/>
  <c r="E4" i="135"/>
  <c r="F25" i="89"/>
  <c r="F32" i="89"/>
  <c r="M27" i="149"/>
  <c r="G19" i="148"/>
  <c r="G3" i="148"/>
  <c r="F10" i="148"/>
  <c r="E7" i="148"/>
  <c r="H18" i="148"/>
  <c r="H15" i="148"/>
  <c r="H7" i="148"/>
  <c r="G12" i="148"/>
  <c r="G11" i="148"/>
  <c r="F19" i="148"/>
  <c r="F16" i="148"/>
  <c r="F6" i="148"/>
  <c r="F4" i="148"/>
  <c r="F3" i="148"/>
  <c r="J31" i="74"/>
  <c r="G31" i="74"/>
  <c r="I31" i="74"/>
  <c r="L31" i="74"/>
  <c r="O31" i="74"/>
  <c r="L20" i="74"/>
  <c r="L19" i="74"/>
  <c r="L18" i="74"/>
  <c r="O17" i="74"/>
  <c r="G24" i="74"/>
  <c r="I23" i="74"/>
  <c r="I24" i="74"/>
  <c r="G23" i="74"/>
  <c r="G22" i="74"/>
  <c r="G41" i="85"/>
  <c r="E47" i="82"/>
  <c r="G21" i="74"/>
  <c r="I22" i="74"/>
  <c r="G20" i="74"/>
  <c r="I21" i="74"/>
  <c r="I19" i="74"/>
  <c r="I20" i="74"/>
  <c r="G19" i="74"/>
  <c r="I18" i="74"/>
  <c r="G18" i="74"/>
  <c r="K41" i="85"/>
  <c r="E45" i="87"/>
  <c r="F36" i="87"/>
  <c r="E46" i="87"/>
  <c r="E48" i="87"/>
  <c r="J36" i="87"/>
  <c r="H36" i="87"/>
  <c r="L36" i="87"/>
  <c r="F28" i="89"/>
  <c r="F27" i="89"/>
  <c r="F26" i="89"/>
  <c r="L19" i="89"/>
  <c r="L30" i="89"/>
  <c r="L29" i="89"/>
  <c r="H19" i="89"/>
  <c r="H30" i="89"/>
  <c r="H29" i="89"/>
  <c r="J30" i="89"/>
  <c r="J29" i="89"/>
  <c r="F19" i="89"/>
  <c r="F30" i="89"/>
  <c r="F29" i="89"/>
  <c r="K31" i="74"/>
  <c r="M31" i="74"/>
  <c r="P24" i="74"/>
  <c r="N24" i="74"/>
  <c r="J24" i="74"/>
  <c r="H24" i="74"/>
  <c r="F24" i="74"/>
  <c r="P23" i="74"/>
  <c r="N23" i="74"/>
  <c r="F56" i="177" s="1"/>
  <c r="J23" i="74"/>
  <c r="H23" i="74"/>
  <c r="D56" i="177" s="1"/>
  <c r="F23" i="74"/>
  <c r="P22" i="74"/>
  <c r="N22" i="74"/>
  <c r="F55" i="177" s="1"/>
  <c r="J22" i="74"/>
  <c r="H22" i="74"/>
  <c r="D55" i="177" s="1"/>
  <c r="F22" i="74"/>
  <c r="P21" i="74"/>
  <c r="N21" i="74"/>
  <c r="F54" i="177" s="1"/>
  <c r="J21" i="74"/>
  <c r="H21" i="74"/>
  <c r="D54" i="177" s="1"/>
  <c r="F21" i="74"/>
  <c r="P20" i="74"/>
  <c r="M20" i="74"/>
  <c r="K20" i="74"/>
  <c r="E53" i="177" s="1"/>
  <c r="P19" i="74"/>
  <c r="M19" i="74"/>
  <c r="K19" i="74"/>
  <c r="E52" i="177" s="1"/>
  <c r="P18" i="74"/>
  <c r="M18" i="74"/>
  <c r="K18" i="74"/>
  <c r="E51" i="177" s="1"/>
  <c r="M16" i="74"/>
  <c r="K16" i="74"/>
  <c r="E49" i="177" s="1"/>
  <c r="N20" i="74"/>
  <c r="F53" i="177" s="1"/>
  <c r="J20" i="74"/>
  <c r="H20" i="74"/>
  <c r="D53" i="177" s="1"/>
  <c r="F20" i="74"/>
  <c r="N19" i="74"/>
  <c r="F52" i="177" s="1"/>
  <c r="J19" i="74"/>
  <c r="H19" i="74"/>
  <c r="D52" i="177" s="1"/>
  <c r="F19" i="74"/>
  <c r="N18" i="74"/>
  <c r="F51" i="177" s="1"/>
  <c r="J18" i="74"/>
  <c r="H18" i="74"/>
  <c r="D51" i="177" s="1"/>
  <c r="F18" i="74"/>
  <c r="M4" i="73"/>
  <c r="J19" i="89"/>
  <c r="M15" i="77"/>
  <c r="F42" i="85"/>
  <c r="L43" i="85"/>
  <c r="E29" i="135"/>
  <c r="E28" i="135"/>
  <c r="E27" i="135"/>
  <c r="E26" i="135"/>
  <c r="E25" i="135"/>
  <c r="E24" i="135"/>
  <c r="E23" i="135"/>
  <c r="E22" i="135"/>
  <c r="E21" i="135"/>
  <c r="E20" i="135"/>
  <c r="E19" i="135"/>
  <c r="E18" i="135"/>
  <c r="E17" i="135"/>
  <c r="E16" i="135"/>
  <c r="E15" i="135"/>
  <c r="E14" i="135"/>
  <c r="E13" i="135"/>
  <c r="E12" i="135"/>
  <c r="E11" i="135"/>
  <c r="E10" i="135"/>
  <c r="E9" i="135"/>
  <c r="E8" i="135"/>
  <c r="E7" i="135"/>
  <c r="E6" i="135"/>
  <c r="E5" i="135"/>
  <c r="G29" i="135"/>
  <c r="G28" i="135"/>
  <c r="G27" i="135"/>
  <c r="G26" i="135"/>
  <c r="G25" i="135"/>
  <c r="G24" i="135"/>
  <c r="G23" i="135"/>
  <c r="G22" i="135"/>
  <c r="G21" i="135"/>
  <c r="G20" i="135"/>
  <c r="G19" i="135"/>
  <c r="G18" i="135"/>
  <c r="G17" i="135"/>
  <c r="G16" i="135"/>
  <c r="G15" i="135"/>
  <c r="G14" i="135"/>
  <c r="G13" i="135"/>
  <c r="G12" i="135"/>
  <c r="G11" i="135"/>
  <c r="G10" i="135"/>
  <c r="G9" i="135"/>
  <c r="G8" i="135"/>
  <c r="G7" i="135"/>
  <c r="G6" i="135"/>
  <c r="G5" i="135"/>
  <c r="I29" i="135"/>
  <c r="I28" i="135"/>
  <c r="I27" i="135"/>
  <c r="I26" i="135"/>
  <c r="I25" i="135"/>
  <c r="I24" i="135"/>
  <c r="I23" i="135"/>
  <c r="I22" i="135"/>
  <c r="I21" i="135"/>
  <c r="I20" i="135"/>
  <c r="I19" i="135"/>
  <c r="I18" i="135"/>
  <c r="I17" i="135"/>
  <c r="I16" i="135"/>
  <c r="I15" i="135"/>
  <c r="I14" i="135"/>
  <c r="I13" i="135"/>
  <c r="I12" i="135"/>
  <c r="I11" i="135"/>
  <c r="I10" i="135"/>
  <c r="I9" i="135"/>
  <c r="I8" i="135"/>
  <c r="I7" i="135"/>
  <c r="I6" i="135"/>
  <c r="I5" i="135"/>
  <c r="K29" i="135"/>
  <c r="K28" i="135"/>
  <c r="K27" i="135"/>
  <c r="K26" i="135"/>
  <c r="K25" i="135"/>
  <c r="K24" i="135"/>
  <c r="K23" i="135"/>
  <c r="K22" i="135"/>
  <c r="K21" i="135"/>
  <c r="K20" i="135"/>
  <c r="K19" i="135"/>
  <c r="K18" i="135"/>
  <c r="K17" i="135"/>
  <c r="K16" i="135"/>
  <c r="K15" i="135"/>
  <c r="K14" i="135"/>
  <c r="K13" i="135"/>
  <c r="K12" i="135"/>
  <c r="K11" i="135"/>
  <c r="K10" i="135"/>
  <c r="K9" i="135"/>
  <c r="K8" i="135"/>
  <c r="K7" i="135"/>
  <c r="K6" i="135"/>
  <c r="K5" i="135"/>
  <c r="E34" i="112"/>
  <c r="G34" i="112"/>
  <c r="I34" i="112"/>
  <c r="K34" i="112"/>
  <c r="E29" i="124"/>
  <c r="E28" i="124"/>
  <c r="E27" i="124"/>
  <c r="E26" i="124"/>
  <c r="E25" i="124"/>
  <c r="E24" i="124"/>
  <c r="E23" i="124"/>
  <c r="E22" i="124"/>
  <c r="E21" i="124"/>
  <c r="E20" i="124"/>
  <c r="E19" i="124"/>
  <c r="E18" i="124"/>
  <c r="E17" i="124"/>
  <c r="E16" i="124"/>
  <c r="E15" i="124"/>
  <c r="E14" i="124"/>
  <c r="E13" i="124"/>
  <c r="E12" i="124"/>
  <c r="E11" i="124"/>
  <c r="E10" i="124"/>
  <c r="E9" i="124"/>
  <c r="E8" i="124"/>
  <c r="E7" i="124"/>
  <c r="E6" i="124"/>
  <c r="E5" i="124"/>
  <c r="G29" i="124"/>
  <c r="G28" i="124"/>
  <c r="G27" i="124"/>
  <c r="G26" i="124"/>
  <c r="G25" i="124"/>
  <c r="G24" i="124"/>
  <c r="G23" i="124"/>
  <c r="G22" i="124"/>
  <c r="G21" i="124"/>
  <c r="G20" i="124"/>
  <c r="G19" i="124"/>
  <c r="G18" i="124"/>
  <c r="G17" i="124"/>
  <c r="G16" i="124"/>
  <c r="G15" i="124"/>
  <c r="G14" i="124"/>
  <c r="G13" i="124"/>
  <c r="G12" i="124"/>
  <c r="G11" i="124"/>
  <c r="G10" i="124"/>
  <c r="G9" i="124"/>
  <c r="G8" i="124"/>
  <c r="G7" i="124"/>
  <c r="G6" i="124"/>
  <c r="G5" i="124"/>
  <c r="I29" i="124"/>
  <c r="I28" i="124"/>
  <c r="I27" i="124"/>
  <c r="I26" i="124"/>
  <c r="I25" i="124"/>
  <c r="I24" i="124"/>
  <c r="I23" i="124"/>
  <c r="I22" i="124"/>
  <c r="I21" i="124"/>
  <c r="I20" i="124"/>
  <c r="I19" i="124"/>
  <c r="I18" i="124"/>
  <c r="I17" i="124"/>
  <c r="I16" i="124"/>
  <c r="I15" i="124"/>
  <c r="I14" i="124"/>
  <c r="I13" i="124"/>
  <c r="I12" i="124"/>
  <c r="I11" i="124"/>
  <c r="I10" i="124"/>
  <c r="I9" i="124"/>
  <c r="I8" i="124"/>
  <c r="I7" i="124"/>
  <c r="I6" i="124"/>
  <c r="I5" i="124"/>
  <c r="K29" i="124"/>
  <c r="K28" i="124"/>
  <c r="K27" i="124"/>
  <c r="K26" i="124"/>
  <c r="K25" i="124"/>
  <c r="K24" i="124"/>
  <c r="K23" i="124"/>
  <c r="K22" i="124"/>
  <c r="K21" i="124"/>
  <c r="K20" i="124"/>
  <c r="K19" i="124"/>
  <c r="K18" i="124"/>
  <c r="K17" i="124"/>
  <c r="K16" i="124"/>
  <c r="K15" i="124"/>
  <c r="K14" i="124"/>
  <c r="K13" i="124"/>
  <c r="K12" i="124"/>
  <c r="K11" i="124"/>
  <c r="K10" i="124"/>
  <c r="K9" i="124"/>
  <c r="K8" i="124"/>
  <c r="K7" i="124"/>
  <c r="K6" i="124"/>
  <c r="K5" i="124"/>
  <c r="K34" i="118"/>
  <c r="I34" i="118"/>
  <c r="G34" i="118"/>
  <c r="E34" i="118"/>
  <c r="K34" i="113"/>
  <c r="I34" i="113"/>
  <c r="G34" i="113"/>
  <c r="E34" i="113"/>
  <c r="K34" i="114"/>
  <c r="I34" i="114"/>
  <c r="G34" i="114"/>
  <c r="E34" i="114"/>
  <c r="K34" i="104"/>
  <c r="I34" i="104"/>
  <c r="G34" i="104"/>
  <c r="E34" i="104"/>
  <c r="K34" i="110"/>
  <c r="I34" i="110"/>
  <c r="G34" i="110"/>
  <c r="E34" i="110"/>
  <c r="F34" i="100"/>
  <c r="F29" i="133"/>
  <c r="H34" i="100"/>
  <c r="H29" i="133"/>
  <c r="J34" i="100"/>
  <c r="J29" i="133"/>
  <c r="L34" i="100"/>
  <c r="L29" i="133"/>
  <c r="K34" i="137"/>
  <c r="I34" i="137"/>
  <c r="G34" i="137"/>
  <c r="E34" i="137"/>
  <c r="F29" i="135"/>
  <c r="F28" i="135"/>
  <c r="F27" i="135"/>
  <c r="F26" i="135"/>
  <c r="F25" i="135"/>
  <c r="F24" i="135"/>
  <c r="F23" i="135"/>
  <c r="F22" i="135"/>
  <c r="F21" i="135"/>
  <c r="F20" i="135"/>
  <c r="F19" i="135"/>
  <c r="F18" i="135"/>
  <c r="F17" i="135"/>
  <c r="F16" i="135"/>
  <c r="F15" i="135"/>
  <c r="F14" i="135"/>
  <c r="F13" i="135"/>
  <c r="F12" i="135"/>
  <c r="F11" i="135"/>
  <c r="F10" i="135"/>
  <c r="F9" i="135"/>
  <c r="F8" i="135"/>
  <c r="F7" i="135"/>
  <c r="F6" i="135"/>
  <c r="F5" i="135"/>
  <c r="H29" i="135"/>
  <c r="H28" i="135"/>
  <c r="H27" i="135"/>
  <c r="H26" i="135"/>
  <c r="H25" i="135"/>
  <c r="H24" i="135"/>
  <c r="H23" i="135"/>
  <c r="H22" i="135"/>
  <c r="H21" i="135"/>
  <c r="H20" i="135"/>
  <c r="H19" i="135"/>
  <c r="H18" i="135"/>
  <c r="H17" i="135"/>
  <c r="H16" i="135"/>
  <c r="H15" i="135"/>
  <c r="H14" i="135"/>
  <c r="H13" i="135"/>
  <c r="H12" i="135"/>
  <c r="H11" i="135"/>
  <c r="H10" i="135"/>
  <c r="H9" i="135"/>
  <c r="H8" i="135"/>
  <c r="H7" i="135"/>
  <c r="H6" i="135"/>
  <c r="H5" i="135"/>
  <c r="J29" i="135"/>
  <c r="J28" i="135"/>
  <c r="J27" i="135"/>
  <c r="J26" i="135"/>
  <c r="J25" i="135"/>
  <c r="J24" i="135"/>
  <c r="J23" i="135"/>
  <c r="J22" i="135"/>
  <c r="J21" i="135"/>
  <c r="J20" i="135"/>
  <c r="J19" i="135"/>
  <c r="J18" i="135"/>
  <c r="J17" i="135"/>
  <c r="J16" i="135"/>
  <c r="J15" i="135"/>
  <c r="J14" i="135"/>
  <c r="J13" i="135"/>
  <c r="J12" i="135"/>
  <c r="J11" i="135"/>
  <c r="J10" i="135"/>
  <c r="J9" i="135"/>
  <c r="J8" i="135"/>
  <c r="J7" i="135"/>
  <c r="J6" i="135"/>
  <c r="J5" i="135"/>
  <c r="L29" i="135"/>
  <c r="L28" i="135"/>
  <c r="L27" i="135"/>
  <c r="L26" i="135"/>
  <c r="L25" i="135"/>
  <c r="L24" i="135"/>
  <c r="L23" i="135"/>
  <c r="L22" i="135"/>
  <c r="L21" i="135"/>
  <c r="L20" i="135"/>
  <c r="L19" i="135"/>
  <c r="L18" i="135"/>
  <c r="L17" i="135"/>
  <c r="L16" i="135"/>
  <c r="L15" i="135"/>
  <c r="L14" i="135"/>
  <c r="L13" i="135"/>
  <c r="L12" i="135"/>
  <c r="L11" i="135"/>
  <c r="L10" i="135"/>
  <c r="L9" i="135"/>
  <c r="L8" i="135"/>
  <c r="L7" i="135"/>
  <c r="L6" i="135"/>
  <c r="L5" i="135"/>
  <c r="F34" i="112"/>
  <c r="H34" i="112"/>
  <c r="J34" i="112"/>
  <c r="L34" i="112"/>
  <c r="F29" i="124"/>
  <c r="F28" i="124"/>
  <c r="F27" i="124"/>
  <c r="F26" i="124"/>
  <c r="F25" i="124"/>
  <c r="F24" i="124"/>
  <c r="F23" i="124"/>
  <c r="F22" i="124"/>
  <c r="F21" i="124"/>
  <c r="F20" i="124"/>
  <c r="F19" i="124"/>
  <c r="F18" i="124"/>
  <c r="F17" i="124"/>
  <c r="F16" i="124"/>
  <c r="F15" i="124"/>
  <c r="F14" i="124"/>
  <c r="F13" i="124"/>
  <c r="F12" i="124"/>
  <c r="F11" i="124"/>
  <c r="F10" i="124"/>
  <c r="F9" i="124"/>
  <c r="F8" i="124"/>
  <c r="F7" i="124"/>
  <c r="F6" i="124"/>
  <c r="F5" i="124"/>
  <c r="H29" i="124"/>
  <c r="H28" i="124"/>
  <c r="H27" i="124"/>
  <c r="H26" i="124"/>
  <c r="H25" i="124"/>
  <c r="H24" i="124"/>
  <c r="H23" i="124"/>
  <c r="H22" i="124"/>
  <c r="H21" i="124"/>
  <c r="H20" i="124"/>
  <c r="H19" i="124"/>
  <c r="H18" i="124"/>
  <c r="H17" i="124"/>
  <c r="H16" i="124"/>
  <c r="H15" i="124"/>
  <c r="H14" i="124"/>
  <c r="H13" i="124"/>
  <c r="H12" i="124"/>
  <c r="H11" i="124"/>
  <c r="H10" i="124"/>
  <c r="H9" i="124"/>
  <c r="H8" i="124"/>
  <c r="H7" i="124"/>
  <c r="H6" i="124"/>
  <c r="H5" i="124"/>
  <c r="J29" i="124"/>
  <c r="J28" i="124"/>
  <c r="J27" i="124"/>
  <c r="J26" i="124"/>
  <c r="J25" i="124"/>
  <c r="J24" i="124"/>
  <c r="J23" i="124"/>
  <c r="J22" i="124"/>
  <c r="J21" i="124"/>
  <c r="J20" i="124"/>
  <c r="J19" i="124"/>
  <c r="J18" i="124"/>
  <c r="J17" i="124"/>
  <c r="J16" i="124"/>
  <c r="J15" i="124"/>
  <c r="J14" i="124"/>
  <c r="J13" i="124"/>
  <c r="J12" i="124"/>
  <c r="J11" i="124"/>
  <c r="J10" i="124"/>
  <c r="J9" i="124"/>
  <c r="J8" i="124"/>
  <c r="J7" i="124"/>
  <c r="J6" i="124"/>
  <c r="J5" i="124"/>
  <c r="L29" i="124"/>
  <c r="L28" i="124"/>
  <c r="L27" i="124"/>
  <c r="L26" i="124"/>
  <c r="L25" i="124"/>
  <c r="L24" i="124"/>
  <c r="L23" i="124"/>
  <c r="L22" i="124"/>
  <c r="L21" i="124"/>
  <c r="L20" i="124"/>
  <c r="L19" i="124"/>
  <c r="L18" i="124"/>
  <c r="L17" i="124"/>
  <c r="L16" i="124"/>
  <c r="L15" i="124"/>
  <c r="L14" i="124"/>
  <c r="L13" i="124"/>
  <c r="L12" i="124"/>
  <c r="L11" i="124"/>
  <c r="L10" i="124"/>
  <c r="L9" i="124"/>
  <c r="L8" i="124"/>
  <c r="L7" i="124"/>
  <c r="L6" i="124"/>
  <c r="L5" i="124"/>
  <c r="L34" i="118"/>
  <c r="J34" i="118"/>
  <c r="H34" i="118"/>
  <c r="F34" i="118"/>
  <c r="L34" i="113"/>
  <c r="J34" i="113"/>
  <c r="H34" i="113"/>
  <c r="F34" i="113"/>
  <c r="L34" i="114"/>
  <c r="J34" i="114"/>
  <c r="H34" i="114"/>
  <c r="F34" i="114"/>
  <c r="L34" i="104"/>
  <c r="J34" i="104"/>
  <c r="H34" i="104"/>
  <c r="F34" i="104"/>
  <c r="L34" i="110"/>
  <c r="J34" i="110"/>
  <c r="H34" i="110"/>
  <c r="F34" i="110"/>
  <c r="E34" i="100"/>
  <c r="E29" i="133"/>
  <c r="G34" i="100"/>
  <c r="G29" i="133"/>
  <c r="I34" i="100"/>
  <c r="I29" i="133"/>
  <c r="K34" i="100"/>
  <c r="K29" i="133"/>
  <c r="L34" i="137"/>
  <c r="J34" i="137"/>
  <c r="H34" i="137"/>
  <c r="F34" i="137"/>
  <c r="G4" i="135"/>
  <c r="H43" i="87"/>
  <c r="L43" i="87"/>
  <c r="F43" i="87"/>
  <c r="F4" i="135"/>
  <c r="H4" i="135"/>
  <c r="F4" i="124"/>
  <c r="H4" i="124"/>
  <c r="J4" i="124"/>
  <c r="L4" i="124"/>
  <c r="E39" i="83"/>
  <c r="E24" i="83"/>
  <c r="E23" i="83"/>
  <c r="E22" i="83"/>
  <c r="E21" i="83"/>
  <c r="E20" i="83"/>
  <c r="E19" i="83"/>
  <c r="E18" i="83"/>
  <c r="E17" i="83"/>
  <c r="E16" i="83"/>
  <c r="E15" i="83"/>
  <c r="E14" i="83"/>
  <c r="R14" i="83" s="1"/>
  <c r="E13" i="83"/>
  <c r="E12" i="83"/>
  <c r="E11" i="83"/>
  <c r="E10" i="83"/>
  <c r="E9" i="83"/>
  <c r="E8" i="83"/>
  <c r="E7" i="83"/>
  <c r="E6" i="83"/>
  <c r="E5" i="83"/>
  <c r="E34" i="97"/>
  <c r="E28" i="123"/>
  <c r="E27" i="123"/>
  <c r="E26" i="123"/>
  <c r="E25" i="123"/>
  <c r="E24" i="123"/>
  <c r="E23" i="123"/>
  <c r="E22" i="123"/>
  <c r="E21" i="123"/>
  <c r="E20" i="123"/>
  <c r="E19" i="123"/>
  <c r="E18" i="123"/>
  <c r="E17" i="123"/>
  <c r="E16" i="123"/>
  <c r="E15" i="123"/>
  <c r="E14" i="123"/>
  <c r="E13" i="123"/>
  <c r="E12" i="123"/>
  <c r="E11" i="123"/>
  <c r="E10" i="123"/>
  <c r="E9" i="123"/>
  <c r="E8" i="123"/>
  <c r="E7" i="123"/>
  <c r="E6" i="123"/>
  <c r="E5" i="123"/>
  <c r="G34" i="97"/>
  <c r="G28" i="123"/>
  <c r="G27" i="123"/>
  <c r="G26" i="123"/>
  <c r="G25" i="123"/>
  <c r="G24" i="123"/>
  <c r="G23" i="123"/>
  <c r="G22" i="123"/>
  <c r="G21" i="123"/>
  <c r="G20" i="123"/>
  <c r="G19" i="123"/>
  <c r="G18" i="123"/>
  <c r="G17" i="123"/>
  <c r="G16" i="123"/>
  <c r="G15" i="123"/>
  <c r="G14" i="123"/>
  <c r="G13" i="123"/>
  <c r="G12" i="123"/>
  <c r="G11" i="123"/>
  <c r="G10" i="123"/>
  <c r="G9" i="123"/>
  <c r="G8" i="123"/>
  <c r="G7" i="123"/>
  <c r="G6" i="123"/>
  <c r="G5" i="123"/>
  <c r="I34" i="97"/>
  <c r="I28" i="123"/>
  <c r="I27" i="123"/>
  <c r="I26" i="123"/>
  <c r="I25" i="123"/>
  <c r="I24" i="123"/>
  <c r="I23" i="123"/>
  <c r="I22" i="123"/>
  <c r="I21" i="123"/>
  <c r="I20" i="123"/>
  <c r="I19" i="123"/>
  <c r="I18" i="123"/>
  <c r="I17" i="123"/>
  <c r="I16" i="123"/>
  <c r="I15" i="123"/>
  <c r="I14" i="123"/>
  <c r="I13" i="123"/>
  <c r="I12" i="123"/>
  <c r="I11" i="123"/>
  <c r="I10" i="123"/>
  <c r="I9" i="123"/>
  <c r="I8" i="123"/>
  <c r="I7" i="123"/>
  <c r="I6" i="123"/>
  <c r="I5" i="123"/>
  <c r="K34" i="97"/>
  <c r="K28" i="123"/>
  <c r="K27" i="123"/>
  <c r="K26" i="123"/>
  <c r="K25" i="123"/>
  <c r="K24" i="123"/>
  <c r="K23" i="123"/>
  <c r="K22" i="123"/>
  <c r="K21" i="123"/>
  <c r="K20" i="123"/>
  <c r="K19" i="123"/>
  <c r="K18" i="123"/>
  <c r="K17" i="123"/>
  <c r="K16" i="123"/>
  <c r="K15" i="123"/>
  <c r="K14" i="123"/>
  <c r="K13" i="123"/>
  <c r="K12" i="123"/>
  <c r="K11" i="123"/>
  <c r="K10" i="123"/>
  <c r="K9" i="123"/>
  <c r="K8" i="123"/>
  <c r="K7" i="123"/>
  <c r="K6" i="123"/>
  <c r="K5" i="123"/>
  <c r="H34" i="93"/>
  <c r="H29" i="122"/>
  <c r="H28" i="122"/>
  <c r="H27" i="122"/>
  <c r="H26" i="122"/>
  <c r="H25" i="122"/>
  <c r="H24" i="122"/>
  <c r="H23" i="122"/>
  <c r="H22" i="122"/>
  <c r="H21" i="122"/>
  <c r="H20" i="122"/>
  <c r="H19" i="122"/>
  <c r="H18" i="122"/>
  <c r="H17" i="122"/>
  <c r="H16" i="122"/>
  <c r="H15" i="122"/>
  <c r="H14" i="122"/>
  <c r="H13" i="122"/>
  <c r="H12" i="122"/>
  <c r="H11" i="122"/>
  <c r="H10" i="122"/>
  <c r="H9" i="122"/>
  <c r="H8" i="122"/>
  <c r="H7" i="122"/>
  <c r="H6" i="122"/>
  <c r="H5" i="122"/>
  <c r="J34" i="93"/>
  <c r="J29" i="122"/>
  <c r="J28" i="122"/>
  <c r="J27" i="122"/>
  <c r="J26" i="122"/>
  <c r="J25" i="122"/>
  <c r="J24" i="122"/>
  <c r="J23" i="122"/>
  <c r="J22" i="122"/>
  <c r="J21" i="122"/>
  <c r="J20" i="122"/>
  <c r="J19" i="122"/>
  <c r="J18" i="122"/>
  <c r="J17" i="122"/>
  <c r="J16" i="122"/>
  <c r="J15" i="122"/>
  <c r="J14" i="122"/>
  <c r="J13" i="122"/>
  <c r="J12" i="122"/>
  <c r="J11" i="122"/>
  <c r="J10" i="122"/>
  <c r="J9" i="122"/>
  <c r="J8" i="122"/>
  <c r="J7" i="122"/>
  <c r="J6" i="122"/>
  <c r="J5" i="122"/>
  <c r="L34" i="93"/>
  <c r="L29" i="122"/>
  <c r="L28" i="122"/>
  <c r="L27" i="122"/>
  <c r="L26" i="122"/>
  <c r="L25" i="122"/>
  <c r="L24" i="122"/>
  <c r="L23" i="122"/>
  <c r="L22" i="122"/>
  <c r="L21" i="122"/>
  <c r="L20" i="122"/>
  <c r="L19" i="122"/>
  <c r="L18" i="122"/>
  <c r="L17" i="122"/>
  <c r="L16" i="122"/>
  <c r="L15" i="122"/>
  <c r="L14" i="122"/>
  <c r="L13" i="122"/>
  <c r="L12" i="122"/>
  <c r="L11" i="122"/>
  <c r="L10" i="122"/>
  <c r="L9" i="122"/>
  <c r="L8" i="122"/>
  <c r="L7" i="122"/>
  <c r="L6" i="122"/>
  <c r="L5" i="122"/>
  <c r="F34" i="93"/>
  <c r="F29" i="122"/>
  <c r="F28" i="122"/>
  <c r="F27" i="122"/>
  <c r="F26" i="122"/>
  <c r="F25" i="122"/>
  <c r="F24" i="122"/>
  <c r="F23" i="122"/>
  <c r="F22" i="122"/>
  <c r="F21" i="122"/>
  <c r="F20" i="122"/>
  <c r="F19" i="122"/>
  <c r="F18" i="122"/>
  <c r="F17" i="122"/>
  <c r="F16" i="122"/>
  <c r="F15" i="122"/>
  <c r="F14" i="122"/>
  <c r="F13" i="122"/>
  <c r="F12" i="122"/>
  <c r="F11" i="122"/>
  <c r="F10" i="122"/>
  <c r="F9" i="122"/>
  <c r="F8" i="122"/>
  <c r="F7" i="122"/>
  <c r="F6" i="122"/>
  <c r="F5" i="122"/>
  <c r="J15" i="77"/>
  <c r="F34" i="97"/>
  <c r="F28" i="123"/>
  <c r="F27" i="123"/>
  <c r="F26" i="123"/>
  <c r="F25" i="123"/>
  <c r="F24" i="123"/>
  <c r="F23" i="123"/>
  <c r="F22" i="123"/>
  <c r="F21" i="123"/>
  <c r="F20" i="123"/>
  <c r="F19" i="123"/>
  <c r="F18" i="123"/>
  <c r="F17" i="123"/>
  <c r="F16" i="123"/>
  <c r="F15" i="123"/>
  <c r="F14" i="123"/>
  <c r="F13" i="123"/>
  <c r="F12" i="123"/>
  <c r="F11" i="123"/>
  <c r="F10" i="123"/>
  <c r="F9" i="123"/>
  <c r="F8" i="123"/>
  <c r="F7" i="123"/>
  <c r="F6" i="123"/>
  <c r="F5" i="123"/>
  <c r="H34" i="97"/>
  <c r="H28" i="123"/>
  <c r="H27" i="123"/>
  <c r="H26" i="123"/>
  <c r="H25" i="123"/>
  <c r="H24" i="123"/>
  <c r="H23" i="123"/>
  <c r="H22" i="123"/>
  <c r="H21" i="123"/>
  <c r="H20" i="123"/>
  <c r="H19" i="123"/>
  <c r="H18" i="123"/>
  <c r="H17" i="123"/>
  <c r="H16" i="123"/>
  <c r="H15" i="123"/>
  <c r="H14" i="123"/>
  <c r="H13" i="123"/>
  <c r="H12" i="123"/>
  <c r="H11" i="123"/>
  <c r="H10" i="123"/>
  <c r="H9" i="123"/>
  <c r="H8" i="123"/>
  <c r="H7" i="123"/>
  <c r="H6" i="123"/>
  <c r="H5" i="123"/>
  <c r="J34" i="97"/>
  <c r="J28" i="123"/>
  <c r="J27" i="123"/>
  <c r="J26" i="123"/>
  <c r="J25" i="123"/>
  <c r="J24" i="123"/>
  <c r="J23" i="123"/>
  <c r="J22" i="123"/>
  <c r="J21" i="123"/>
  <c r="J20" i="123"/>
  <c r="J19" i="123"/>
  <c r="J18" i="123"/>
  <c r="J17" i="123"/>
  <c r="J16" i="123"/>
  <c r="J15" i="123"/>
  <c r="J14" i="123"/>
  <c r="J13" i="123"/>
  <c r="J12" i="123"/>
  <c r="J11" i="123"/>
  <c r="J10" i="123"/>
  <c r="J9" i="123"/>
  <c r="J8" i="123"/>
  <c r="J7" i="123"/>
  <c r="J6" i="123"/>
  <c r="J5" i="123"/>
  <c r="L34" i="97"/>
  <c r="L28" i="123"/>
  <c r="L27" i="123"/>
  <c r="L26" i="123"/>
  <c r="L25" i="123"/>
  <c r="L24" i="123"/>
  <c r="L23" i="123"/>
  <c r="L22" i="123"/>
  <c r="L21" i="123"/>
  <c r="L20" i="123"/>
  <c r="L19" i="123"/>
  <c r="L18" i="123"/>
  <c r="L17" i="123"/>
  <c r="L16" i="123"/>
  <c r="L15" i="123"/>
  <c r="L14" i="123"/>
  <c r="L13" i="123"/>
  <c r="L12" i="123"/>
  <c r="L11" i="123"/>
  <c r="L10" i="123"/>
  <c r="L9" i="123"/>
  <c r="L8" i="123"/>
  <c r="L7" i="123"/>
  <c r="L6" i="123"/>
  <c r="L5" i="123"/>
  <c r="I34" i="93"/>
  <c r="I29" i="122"/>
  <c r="I28" i="122"/>
  <c r="I27" i="122"/>
  <c r="I26" i="122"/>
  <c r="I25" i="122"/>
  <c r="I24" i="122"/>
  <c r="I23" i="122"/>
  <c r="I22" i="122"/>
  <c r="I21" i="122"/>
  <c r="I20" i="122"/>
  <c r="I19" i="122"/>
  <c r="I18" i="122"/>
  <c r="I17" i="122"/>
  <c r="I16" i="122"/>
  <c r="I15" i="122"/>
  <c r="I14" i="122"/>
  <c r="I13" i="122"/>
  <c r="I12" i="122"/>
  <c r="I11" i="122"/>
  <c r="I10" i="122"/>
  <c r="I9" i="122"/>
  <c r="I8" i="122"/>
  <c r="I7" i="122"/>
  <c r="I6" i="122"/>
  <c r="I5" i="122"/>
  <c r="K34" i="93"/>
  <c r="K29" i="122"/>
  <c r="K28" i="122"/>
  <c r="K27" i="122"/>
  <c r="K26" i="122"/>
  <c r="K25" i="122"/>
  <c r="K24" i="122"/>
  <c r="K23" i="122"/>
  <c r="K22" i="122"/>
  <c r="K21" i="122"/>
  <c r="K20" i="122"/>
  <c r="K19" i="122"/>
  <c r="K18" i="122"/>
  <c r="K17" i="122"/>
  <c r="K16" i="122"/>
  <c r="K15" i="122"/>
  <c r="K14" i="122"/>
  <c r="K13" i="122"/>
  <c r="K12" i="122"/>
  <c r="K11" i="122"/>
  <c r="K10" i="122"/>
  <c r="K9" i="122"/>
  <c r="K8" i="122"/>
  <c r="K7" i="122"/>
  <c r="K6" i="122"/>
  <c r="K5" i="122"/>
  <c r="E34" i="93"/>
  <c r="E29" i="122"/>
  <c r="E28" i="122"/>
  <c r="E27" i="122"/>
  <c r="E26" i="122"/>
  <c r="E25" i="122"/>
  <c r="E24" i="122"/>
  <c r="E23" i="122"/>
  <c r="E22" i="122"/>
  <c r="E21" i="122"/>
  <c r="E20" i="122"/>
  <c r="E19" i="122"/>
  <c r="E18" i="122"/>
  <c r="E17" i="122"/>
  <c r="E16" i="122"/>
  <c r="E15" i="122"/>
  <c r="E14" i="122"/>
  <c r="E13" i="122"/>
  <c r="E12" i="122"/>
  <c r="E11" i="122"/>
  <c r="E10" i="122"/>
  <c r="E9" i="122"/>
  <c r="E8" i="122"/>
  <c r="E7" i="122"/>
  <c r="E6" i="122"/>
  <c r="E5" i="122"/>
  <c r="G34" i="93"/>
  <c r="G29" i="122"/>
  <c r="G28" i="122"/>
  <c r="G27" i="122"/>
  <c r="G26" i="122"/>
  <c r="G25" i="122"/>
  <c r="G24" i="122"/>
  <c r="G23" i="122"/>
  <c r="G22" i="122"/>
  <c r="G21" i="122"/>
  <c r="G20" i="122"/>
  <c r="G19" i="122"/>
  <c r="G18" i="122"/>
  <c r="G17" i="122"/>
  <c r="G16" i="122"/>
  <c r="G15" i="122"/>
  <c r="G14" i="122"/>
  <c r="G13" i="122"/>
  <c r="G12" i="122"/>
  <c r="G11" i="122"/>
  <c r="G10" i="122"/>
  <c r="G9" i="122"/>
  <c r="G8" i="122"/>
  <c r="G7" i="122"/>
  <c r="G6" i="122"/>
  <c r="G5" i="122"/>
  <c r="N17" i="74"/>
  <c r="J17" i="74"/>
  <c r="F16" i="74"/>
  <c r="K15" i="77"/>
  <c r="P27" i="149"/>
  <c r="N27" i="149"/>
  <c r="L15" i="77"/>
  <c r="L27" i="149"/>
  <c r="K27" i="149"/>
  <c r="J27" i="149"/>
  <c r="H15" i="77"/>
  <c r="H27" i="149"/>
  <c r="F15" i="77"/>
  <c r="F27" i="149"/>
  <c r="E29" i="123"/>
  <c r="F29" i="123"/>
  <c r="G29" i="123"/>
  <c r="H29" i="123"/>
  <c r="I29" i="123"/>
  <c r="J29" i="123"/>
  <c r="K29" i="123"/>
  <c r="L29" i="123"/>
  <c r="O15" i="77"/>
  <c r="O27" i="149"/>
  <c r="I15" i="77"/>
  <c r="I27" i="149"/>
  <c r="G27" i="149"/>
  <c r="E15" i="77"/>
  <c r="E27" i="149"/>
  <c r="N16" i="74"/>
  <c r="F49" i="177" s="1"/>
  <c r="L25" i="89"/>
  <c r="J25" i="89"/>
  <c r="L24" i="89"/>
  <c r="J24" i="89"/>
  <c r="H24" i="89"/>
  <c r="F24" i="89"/>
  <c r="L23" i="89"/>
  <c r="J23" i="89"/>
  <c r="H23" i="89"/>
  <c r="F23" i="89"/>
  <c r="L22" i="89"/>
  <c r="J22" i="89"/>
  <c r="H22" i="89"/>
  <c r="F22" i="89"/>
  <c r="L21" i="89"/>
  <c r="J21" i="89"/>
  <c r="H21" i="89"/>
  <c r="F21" i="89"/>
  <c r="L20" i="89"/>
  <c r="J20" i="89"/>
  <c r="H20" i="89"/>
  <c r="F20" i="89"/>
  <c r="J16" i="74"/>
  <c r="H17" i="74"/>
  <c r="D50" i="177" s="1"/>
  <c r="H16" i="74"/>
  <c r="D49" i="177" s="1"/>
  <c r="F17" i="74"/>
  <c r="L4" i="73"/>
  <c r="G15" i="77"/>
  <c r="P15" i="77"/>
  <c r="I17" i="74"/>
  <c r="G17" i="74"/>
  <c r="I16" i="74"/>
  <c r="G16" i="74"/>
  <c r="N15" i="77"/>
  <c r="S14" i="83"/>
  <c r="T9" i="77" l="1"/>
  <c r="T10" i="77" s="1"/>
  <c r="R8" i="77"/>
  <c r="N10" i="77"/>
  <c r="D80" i="162" s="1"/>
  <c r="F17" i="77"/>
  <c r="T8" i="77"/>
  <c r="G17" i="77"/>
  <c r="O35" i="74"/>
  <c r="F50" i="177"/>
  <c r="N35" i="74"/>
  <c r="P35" i="74"/>
  <c r="H32" i="148"/>
  <c r="D34" i="155"/>
  <c r="D31" i="155"/>
  <c r="D33" i="155"/>
  <c r="D30" i="155"/>
  <c r="D29" i="155"/>
  <c r="E35" i="155"/>
  <c r="D35" i="155" s="1"/>
  <c r="D36" i="155"/>
  <c r="D32" i="155"/>
  <c r="D28" i="155"/>
  <c r="H31" i="148"/>
  <c r="H30" i="148"/>
  <c r="R9" i="77"/>
  <c r="P10" i="77"/>
  <c r="F80" i="162" s="1"/>
  <c r="S9" i="77"/>
  <c r="S10" i="77" s="1"/>
  <c r="H25" i="175"/>
  <c r="F5" i="176"/>
  <c r="H19" i="175"/>
  <c r="H23" i="175"/>
  <c r="H18" i="175"/>
  <c r="H22" i="175"/>
  <c r="H24" i="175"/>
  <c r="H20" i="175"/>
  <c r="K42" i="73"/>
  <c r="M45" i="73"/>
  <c r="K45" i="73"/>
  <c r="S23" i="74"/>
  <c r="I6" i="176"/>
  <c r="H6" i="176"/>
  <c r="F7" i="176"/>
  <c r="I6" i="175"/>
  <c r="I5" i="176"/>
  <c r="H5" i="176"/>
  <c r="F6" i="176"/>
  <c r="I8" i="175"/>
  <c r="H7" i="176"/>
  <c r="I7" i="176"/>
  <c r="I7" i="175"/>
  <c r="H21" i="175"/>
  <c r="I9" i="175"/>
  <c r="H8" i="176"/>
  <c r="I8" i="176"/>
  <c r="F8" i="176"/>
  <c r="M43" i="73"/>
  <c r="F20" i="148"/>
  <c r="M44" i="73"/>
  <c r="E20" i="148"/>
  <c r="K44" i="73"/>
  <c r="K43" i="73"/>
  <c r="F31" i="89"/>
  <c r="J31" i="89"/>
  <c r="L42" i="85"/>
  <c r="H31" i="89"/>
  <c r="L31" i="89"/>
  <c r="S17" i="74"/>
  <c r="L45" i="73"/>
  <c r="L43" i="73"/>
  <c r="L44" i="73"/>
  <c r="H20" i="148"/>
  <c r="F14" i="148"/>
  <c r="E14" i="148"/>
  <c r="G20" i="148"/>
  <c r="F8" i="148"/>
  <c r="G8" i="148"/>
  <c r="H14" i="148"/>
  <c r="E8" i="148"/>
  <c r="H8" i="148"/>
  <c r="G14" i="148" l="1"/>
  <c r="I39" i="91" l="1"/>
  <c r="K39" i="91"/>
  <c r="M39" i="91"/>
  <c r="O39" i="91"/>
  <c r="H39" i="91"/>
  <c r="J39" i="91"/>
  <c r="L39" i="91"/>
  <c r="N39" i="91"/>
  <c r="P39" i="91"/>
  <c r="P36" i="92" l="1"/>
  <c r="P32" i="92"/>
  <c r="P28" i="92"/>
  <c r="P24" i="92"/>
  <c r="P20" i="92"/>
  <c r="P16" i="92"/>
  <c r="P12" i="92"/>
  <c r="P8" i="92"/>
  <c r="P35" i="92"/>
  <c r="P31" i="92"/>
  <c r="P27" i="92"/>
  <c r="P23" i="92"/>
  <c r="P19" i="92"/>
  <c r="P15" i="92"/>
  <c r="P11" i="92"/>
  <c r="P7" i="92"/>
  <c r="P34" i="92"/>
  <c r="P37" i="92"/>
  <c r="P29" i="92"/>
  <c r="P21" i="92"/>
  <c r="P33" i="92"/>
  <c r="P26" i="92"/>
  <c r="P18" i="92"/>
  <c r="P10" i="92"/>
  <c r="P25" i="92"/>
  <c r="P17" i="92"/>
  <c r="P9" i="92"/>
  <c r="P30" i="92"/>
  <c r="P22" i="92"/>
  <c r="P14" i="92"/>
  <c r="P5" i="92"/>
  <c r="P6" i="92"/>
  <c r="P13" i="92"/>
  <c r="N34" i="92"/>
  <c r="N30" i="92"/>
  <c r="N26" i="92"/>
  <c r="N22" i="92"/>
  <c r="N18" i="92"/>
  <c r="N14" i="92"/>
  <c r="N10" i="92"/>
  <c r="N6" i="92"/>
  <c r="N37" i="92"/>
  <c r="N33" i="92"/>
  <c r="N29" i="92"/>
  <c r="N25" i="92"/>
  <c r="N21" i="92"/>
  <c r="N17" i="92"/>
  <c r="N13" i="92"/>
  <c r="N9" i="92"/>
  <c r="N5" i="92"/>
  <c r="N36" i="92"/>
  <c r="N32" i="92"/>
  <c r="N31" i="92"/>
  <c r="N23" i="92"/>
  <c r="N35" i="92"/>
  <c r="N28" i="92"/>
  <c r="N20" i="92"/>
  <c r="N12" i="92"/>
  <c r="N27" i="92"/>
  <c r="N19" i="92"/>
  <c r="N11" i="92"/>
  <c r="N24" i="92"/>
  <c r="N16" i="92"/>
  <c r="N7" i="92"/>
  <c r="N8" i="92"/>
  <c r="N15" i="92"/>
  <c r="O37" i="92"/>
  <c r="O33" i="92"/>
  <c r="O29" i="92"/>
  <c r="O25" i="92"/>
  <c r="O21" i="92"/>
  <c r="O17" i="92"/>
  <c r="O13" i="92"/>
  <c r="O9" i="92"/>
  <c r="O5" i="92"/>
  <c r="O36" i="92"/>
  <c r="O32" i="92"/>
  <c r="O28" i="92"/>
  <c r="O24" i="92"/>
  <c r="O20" i="92"/>
  <c r="O16" i="92"/>
  <c r="O12" i="92"/>
  <c r="O8" i="92"/>
  <c r="O35" i="92"/>
  <c r="O30" i="92"/>
  <c r="O22" i="92"/>
  <c r="O27" i="92"/>
  <c r="O19" i="92"/>
  <c r="O11" i="92"/>
  <c r="O26" i="92"/>
  <c r="O18" i="92"/>
  <c r="O10" i="92"/>
  <c r="O34" i="92"/>
  <c r="O31" i="92"/>
  <c r="O23" i="92"/>
  <c r="O7" i="92"/>
  <c r="O14" i="92"/>
  <c r="O15" i="92"/>
  <c r="O6" i="92"/>
  <c r="L36" i="92"/>
  <c r="L32" i="92"/>
  <c r="L28" i="92"/>
  <c r="L24" i="92"/>
  <c r="L20" i="92"/>
  <c r="L16" i="92"/>
  <c r="L12" i="92"/>
  <c r="L8" i="92"/>
  <c r="L35" i="92"/>
  <c r="L31" i="92"/>
  <c r="L27" i="92"/>
  <c r="L23" i="92"/>
  <c r="L19" i="92"/>
  <c r="L15" i="92"/>
  <c r="L11" i="92"/>
  <c r="L7" i="92"/>
  <c r="L34" i="92"/>
  <c r="L25" i="92"/>
  <c r="L37" i="92"/>
  <c r="L30" i="92"/>
  <c r="L22" i="92"/>
  <c r="L14" i="92"/>
  <c r="L6" i="92"/>
  <c r="L33" i="92"/>
  <c r="L29" i="92"/>
  <c r="L21" i="92"/>
  <c r="L13" i="92"/>
  <c r="L5" i="92"/>
  <c r="L26" i="92"/>
  <c r="L18" i="92"/>
  <c r="L9" i="92"/>
  <c r="L10" i="92"/>
  <c r="L17" i="92"/>
  <c r="M35" i="92"/>
  <c r="M31" i="92"/>
  <c r="M27" i="92"/>
  <c r="M23" i="92"/>
  <c r="M19" i="92"/>
  <c r="M15" i="92"/>
  <c r="M11" i="92"/>
  <c r="M7" i="92"/>
  <c r="M34" i="92"/>
  <c r="M30" i="92"/>
  <c r="M26" i="92"/>
  <c r="M22" i="92"/>
  <c r="M18" i="92"/>
  <c r="M14" i="92"/>
  <c r="M10" i="92"/>
  <c r="M6" i="92"/>
  <c r="M37" i="92"/>
  <c r="M33" i="92"/>
  <c r="M32" i="92"/>
  <c r="M24" i="92"/>
  <c r="M29" i="92"/>
  <c r="M21" i="92"/>
  <c r="M13" i="92"/>
  <c r="M5" i="92"/>
  <c r="M28" i="92"/>
  <c r="M20" i="92"/>
  <c r="M12" i="92"/>
  <c r="M36" i="92"/>
  <c r="M25" i="92"/>
  <c r="M9" i="92"/>
  <c r="M16" i="92"/>
  <c r="M17" i="92"/>
  <c r="M8" i="92"/>
  <c r="J34" i="92"/>
  <c r="J30" i="92"/>
  <c r="J26" i="92"/>
  <c r="J22" i="92"/>
  <c r="J18" i="92"/>
  <c r="J14" i="92"/>
  <c r="J10" i="92"/>
  <c r="J6" i="92"/>
  <c r="J37" i="92"/>
  <c r="J33" i="92"/>
  <c r="J29" i="92"/>
  <c r="J25" i="92"/>
  <c r="J21" i="92"/>
  <c r="J17" i="92"/>
  <c r="J13" i="92"/>
  <c r="J9" i="92"/>
  <c r="J5" i="92"/>
  <c r="J36" i="92"/>
  <c r="J27" i="92"/>
  <c r="J19" i="92"/>
  <c r="J32" i="92"/>
  <c r="J24" i="92"/>
  <c r="J16" i="92"/>
  <c r="J8" i="92"/>
  <c r="J35" i="92"/>
  <c r="J31" i="92"/>
  <c r="J23" i="92"/>
  <c r="J15" i="92"/>
  <c r="J7" i="92"/>
  <c r="J28" i="92"/>
  <c r="J20" i="92"/>
  <c r="J11" i="92"/>
  <c r="J12" i="92"/>
  <c r="K37" i="92"/>
  <c r="K33" i="92"/>
  <c r="K29" i="92"/>
  <c r="K25" i="92"/>
  <c r="K21" i="92"/>
  <c r="K17" i="92"/>
  <c r="K13" i="92"/>
  <c r="K9" i="92"/>
  <c r="K5" i="92"/>
  <c r="K35" i="92"/>
  <c r="K36" i="92"/>
  <c r="K32" i="92"/>
  <c r="K28" i="92"/>
  <c r="K24" i="92"/>
  <c r="K20" i="92"/>
  <c r="K16" i="92"/>
  <c r="K12" i="92"/>
  <c r="K8" i="92"/>
  <c r="K34" i="92"/>
  <c r="K26" i="92"/>
  <c r="K31" i="92"/>
  <c r="K23" i="92"/>
  <c r="K15" i="92"/>
  <c r="K7" i="92"/>
  <c r="K30" i="92"/>
  <c r="K22" i="92"/>
  <c r="K14" i="92"/>
  <c r="K6" i="92"/>
  <c r="K27" i="92"/>
  <c r="K19" i="92"/>
  <c r="K11" i="92"/>
  <c r="K18" i="92"/>
  <c r="K10" i="92"/>
  <c r="H36" i="92"/>
  <c r="H32" i="92"/>
  <c r="H28" i="92"/>
  <c r="H24" i="92"/>
  <c r="H20" i="92"/>
  <c r="H16" i="92"/>
  <c r="H12" i="92"/>
  <c r="H8" i="92"/>
  <c r="H35" i="92"/>
  <c r="H31" i="92"/>
  <c r="H27" i="92"/>
  <c r="H23" i="92"/>
  <c r="H19" i="92"/>
  <c r="H15" i="92"/>
  <c r="H11" i="92"/>
  <c r="H7" i="92"/>
  <c r="H34" i="92"/>
  <c r="H29" i="92"/>
  <c r="H21" i="92"/>
  <c r="H26" i="92"/>
  <c r="H18" i="92"/>
  <c r="H10" i="92"/>
  <c r="H37" i="92"/>
  <c r="H25" i="92"/>
  <c r="H17" i="92"/>
  <c r="H9" i="92"/>
  <c r="H33" i="92"/>
  <c r="H30" i="92"/>
  <c r="H22" i="92"/>
  <c r="H6" i="92"/>
  <c r="H13" i="92"/>
  <c r="H14" i="92"/>
  <c r="H5" i="92"/>
  <c r="I35" i="92"/>
  <c r="I31" i="92"/>
  <c r="I27" i="92"/>
  <c r="I23" i="92"/>
  <c r="I19" i="92"/>
  <c r="I15" i="92"/>
  <c r="I11" i="92"/>
  <c r="I7" i="92"/>
  <c r="I34" i="92"/>
  <c r="I30" i="92"/>
  <c r="I26" i="92"/>
  <c r="I22" i="92"/>
  <c r="I18" i="92"/>
  <c r="I14" i="92"/>
  <c r="I10" i="92"/>
  <c r="I6" i="92"/>
  <c r="I37" i="92"/>
  <c r="I33" i="92"/>
  <c r="I36" i="92"/>
  <c r="I28" i="92"/>
  <c r="I20" i="92"/>
  <c r="I25" i="92"/>
  <c r="I17" i="92"/>
  <c r="I9" i="92"/>
  <c r="I32" i="92"/>
  <c r="I24" i="92"/>
  <c r="I16" i="92"/>
  <c r="I8" i="92"/>
  <c r="I29" i="92"/>
  <c r="I21" i="92"/>
  <c r="I13" i="92"/>
  <c r="I5" i="92"/>
  <c r="I12" i="92"/>
  <c r="P4" i="92"/>
  <c r="P38" i="92"/>
  <c r="P55" i="91"/>
  <c r="P41" i="91"/>
  <c r="P42" i="91" s="1"/>
  <c r="N55" i="91"/>
  <c r="N4" i="92"/>
  <c r="N41" i="91"/>
  <c r="N38" i="92"/>
  <c r="J55" i="91"/>
  <c r="J38" i="92"/>
  <c r="J41" i="91"/>
  <c r="J42" i="91" s="1"/>
  <c r="J4" i="92"/>
  <c r="H38" i="92"/>
  <c r="H4" i="92"/>
  <c r="H41" i="91"/>
  <c r="H55" i="91"/>
  <c r="O4" i="92"/>
  <c r="O41" i="91"/>
  <c r="O42" i="91" s="1"/>
  <c r="O38" i="92"/>
  <c r="M55" i="91"/>
  <c r="M4" i="92"/>
  <c r="M38" i="92"/>
  <c r="M41" i="91"/>
  <c r="M42" i="91" s="1"/>
  <c r="K4" i="92"/>
  <c r="K55" i="91"/>
  <c r="K41" i="91"/>
  <c r="K38" i="92"/>
  <c r="I4" i="92"/>
  <c r="I38" i="92"/>
  <c r="I41" i="91"/>
  <c r="I42" i="91" s="1"/>
  <c r="L4" i="92"/>
  <c r="L38" i="92"/>
  <c r="L41" i="91"/>
  <c r="L42" i="91" s="1"/>
  <c r="K42" i="91" l="1"/>
  <c r="K44" i="91" s="1"/>
  <c r="H42" i="91"/>
  <c r="H44" i="91" s="1"/>
  <c r="N42" i="91"/>
  <c r="N44" i="91" s="1"/>
  <c r="N45" i="91" l="1"/>
  <c r="N46" i="91" s="1"/>
  <c r="H45" i="91"/>
  <c r="H46" i="91" s="1"/>
  <c r="K45" i="91"/>
  <c r="K46" i="91" s="1"/>
  <c r="G38" i="91"/>
  <c r="E38" i="91"/>
  <c r="F38" i="91"/>
  <c r="E39" i="91" l="1"/>
  <c r="E41" i="91" s="1"/>
  <c r="G39" i="91"/>
  <c r="G41" i="91" s="1"/>
  <c r="F39" i="91"/>
  <c r="E35" i="92" l="1"/>
  <c r="E19" i="92"/>
  <c r="F34" i="92"/>
  <c r="F41" i="91"/>
  <c r="F32" i="92"/>
  <c r="E10" i="92"/>
  <c r="E14" i="92"/>
  <c r="F20" i="92"/>
  <c r="E22" i="92"/>
  <c r="G42" i="91"/>
  <c r="G55" i="91"/>
  <c r="G38" i="92"/>
  <c r="G12" i="92"/>
  <c r="G18" i="92"/>
  <c r="G9" i="92"/>
  <c r="G7" i="92"/>
  <c r="G27" i="92"/>
  <c r="G29" i="92"/>
  <c r="G6" i="92"/>
  <c r="G24" i="92"/>
  <c r="G25" i="92"/>
  <c r="G30" i="92"/>
  <c r="G14" i="92"/>
  <c r="G37" i="92"/>
  <c r="G4" i="92"/>
  <c r="G8" i="92"/>
  <c r="G36" i="92"/>
  <c r="G15" i="92"/>
  <c r="G17" i="92"/>
  <c r="G28" i="92"/>
  <c r="G19" i="92"/>
  <c r="G11" i="92"/>
  <c r="G22" i="92"/>
  <c r="G34" i="92"/>
  <c r="E55" i="91"/>
  <c r="E15" i="92"/>
  <c r="E11" i="92"/>
  <c r="E27" i="92"/>
  <c r="E25" i="92"/>
  <c r="E28" i="92"/>
  <c r="E36" i="92"/>
  <c r="E5" i="92"/>
  <c r="E8" i="92"/>
  <c r="E38" i="92"/>
  <c r="E20" i="92"/>
  <c r="E24" i="92"/>
  <c r="E26" i="92"/>
  <c r="E34" i="92"/>
  <c r="E7" i="92"/>
  <c r="E33" i="92"/>
  <c r="E9" i="92"/>
  <c r="E13" i="92"/>
  <c r="E21" i="92"/>
  <c r="E16" i="92"/>
  <c r="F22" i="92"/>
  <c r="E23" i="92"/>
  <c r="F17" i="92"/>
  <c r="F18" i="92"/>
  <c r="G32" i="92"/>
  <c r="F9" i="92"/>
  <c r="G20" i="92"/>
  <c r="G13" i="92"/>
  <c r="G31" i="92"/>
  <c r="E17" i="92"/>
  <c r="E32" i="92"/>
  <c r="E12" i="92"/>
  <c r="G33" i="92"/>
  <c r="F11" i="92"/>
  <c r="F26" i="92"/>
  <c r="G16" i="92"/>
  <c r="E6" i="92"/>
  <c r="E29" i="92"/>
  <c r="F30" i="92"/>
  <c r="G10" i="92"/>
  <c r="G5" i="92"/>
  <c r="F42" i="91"/>
  <c r="F35" i="92"/>
  <c r="F15" i="92"/>
  <c r="F38" i="92"/>
  <c r="F36" i="92"/>
  <c r="F13" i="92"/>
  <c r="F12" i="92"/>
  <c r="F19" i="92"/>
  <c r="F6" i="92"/>
  <c r="F14" i="92"/>
  <c r="F5" i="92"/>
  <c r="F23" i="92"/>
  <c r="F8" i="92"/>
  <c r="F4" i="92"/>
  <c r="F27" i="92"/>
  <c r="F24" i="92"/>
  <c r="F29" i="92"/>
  <c r="F16" i="92"/>
  <c r="F7" i="92"/>
  <c r="F21" i="92"/>
  <c r="F28" i="92"/>
  <c r="F31" i="92"/>
  <c r="F37" i="92"/>
  <c r="F33" i="92"/>
  <c r="F25" i="92"/>
  <c r="E31" i="92"/>
  <c r="E18" i="92"/>
  <c r="E30" i="92"/>
  <c r="E37" i="92"/>
  <c r="G26" i="92"/>
  <c r="G35" i="92"/>
  <c r="E4" i="92"/>
  <c r="G23" i="92"/>
  <c r="F10" i="92"/>
  <c r="G21" i="92"/>
  <c r="E42" i="91" l="1"/>
  <c r="E44" i="91" s="1"/>
  <c r="E45" i="91" l="1"/>
  <c r="E46" i="91" s="1"/>
</calcChain>
</file>

<file path=xl/sharedStrings.xml><?xml version="1.0" encoding="utf-8"?>
<sst xmlns="http://schemas.openxmlformats.org/spreadsheetml/2006/main" count="3638" uniqueCount="581">
  <si>
    <r>
      <t>Other</t>
    </r>
    <r>
      <rPr>
        <vertAlign val="superscript"/>
        <sz val="8"/>
        <rFont val="Arial"/>
        <family val="2"/>
      </rPr>
      <t>2</t>
    </r>
  </si>
  <si>
    <r>
      <t>Economic activity</t>
    </r>
    <r>
      <rPr>
        <vertAlign val="superscript"/>
        <sz val="8"/>
        <rFont val="Arial"/>
        <family val="2"/>
      </rPr>
      <t>1</t>
    </r>
  </si>
  <si>
    <t>Female</t>
  </si>
  <si>
    <t>Male</t>
  </si>
  <si>
    <t>Other</t>
  </si>
  <si>
    <t>Construction</t>
  </si>
  <si>
    <t>Metal</t>
  </si>
  <si>
    <t>Textiles</t>
  </si>
  <si>
    <t>Total</t>
  </si>
  <si>
    <t>Eastern Cape</t>
  </si>
  <si>
    <t>Free State</t>
  </si>
  <si>
    <t>Gauteng</t>
  </si>
  <si>
    <t>Limpopo</t>
  </si>
  <si>
    <t>Mpumalanga</t>
  </si>
  <si>
    <t>North West</t>
  </si>
  <si>
    <t>Northern Cape</t>
  </si>
  <si>
    <t>Western Cape</t>
  </si>
  <si>
    <t>Number of taxpayers</t>
  </si>
  <si>
    <t>A:</t>
  </si>
  <si>
    <t>B:</t>
  </si>
  <si>
    <t>C:</t>
  </si>
  <si>
    <t>D:</t>
  </si>
  <si>
    <t>E:</t>
  </si>
  <si>
    <t>F:</t>
  </si>
  <si>
    <t>G:</t>
  </si>
  <si>
    <t>H:</t>
  </si>
  <si>
    <t>I:</t>
  </si>
  <si>
    <t>J:</t>
  </si>
  <si>
    <t>K:</t>
  </si>
  <si>
    <t>L:</t>
  </si>
  <si>
    <t>M:</t>
  </si>
  <si>
    <t>N:</t>
  </si>
  <si>
    <t>O:</t>
  </si>
  <si>
    <t>P:</t>
  </si>
  <si>
    <t>Q:</t>
  </si>
  <si>
    <t>R:</t>
  </si>
  <si>
    <t>S:</t>
  </si>
  <si>
    <t>T:</t>
  </si>
  <si>
    <t>U:</t>
  </si>
  <si>
    <t>V:</t>
  </si>
  <si>
    <t>W:</t>
  </si>
  <si>
    <t>X:</t>
  </si>
  <si>
    <t>Y:</t>
  </si>
  <si>
    <t>&lt; 0</t>
  </si>
  <si>
    <t>1 – 20 000</t>
  </si>
  <si>
    <t>20 001 – 30 000</t>
  </si>
  <si>
    <t>30 001 – 40 000</t>
  </si>
  <si>
    <t>40 001 – 50 000</t>
  </si>
  <si>
    <t>50 001 – 60 000</t>
  </si>
  <si>
    <t>60 001 – 70 000</t>
  </si>
  <si>
    <t>70 001 – 80 000</t>
  </si>
  <si>
    <t>80 001 – 90 000</t>
  </si>
  <si>
    <t>90 000 – 100 000</t>
  </si>
  <si>
    <t>100 001 – 110 000</t>
  </si>
  <si>
    <t>110 001 – 120 000</t>
  </si>
  <si>
    <t>120 001 – 130 000</t>
  </si>
  <si>
    <t>130 001 – 140 000</t>
  </si>
  <si>
    <t>140 001 – 150 000</t>
  </si>
  <si>
    <t>150 001 – 200 000</t>
  </si>
  <si>
    <t>200 001 – 300 000</t>
  </si>
  <si>
    <t>300 001 – 400 000</t>
  </si>
  <si>
    <t>400 001 – 500 000</t>
  </si>
  <si>
    <t>500 001 – 750 000</t>
  </si>
  <si>
    <t>750 001 – 1 000 000</t>
  </si>
  <si>
    <t>1 000 001 – 2 000 000</t>
  </si>
  <si>
    <t>2 000 001 – 5 000 000</t>
  </si>
  <si>
    <t>5 000 001 +</t>
  </si>
  <si>
    <t>Taxable income 
(R million)</t>
  </si>
  <si>
    <t>Tax 
assessed
(R million)</t>
  </si>
  <si>
    <t>KwaZulu-Natal</t>
  </si>
  <si>
    <t>Entertainment allowance</t>
  </si>
  <si>
    <t>Public office allowance</t>
  </si>
  <si>
    <t>Tool allowance</t>
  </si>
  <si>
    <t>Computer allowance</t>
  </si>
  <si>
    <t>Other allowances - taxable</t>
  </si>
  <si>
    <t>Current pension fund contributions</t>
  </si>
  <si>
    <t>Medical expenses (total)</t>
  </si>
  <si>
    <t>Donations</t>
  </si>
  <si>
    <t>Right of use of asset</t>
  </si>
  <si>
    <t>Free or cheap services</t>
  </si>
  <si>
    <t>Taxable income</t>
  </si>
  <si>
    <t>Tax 
assessed</t>
  </si>
  <si>
    <t>Right of use of motor vehicle</t>
  </si>
  <si>
    <t>Free or cheap residential / holiday accommodation</t>
  </si>
  <si>
    <t>Low or interest-free loans: house</t>
  </si>
  <si>
    <t>Percentage</t>
  </si>
  <si>
    <t>Assessed</t>
  </si>
  <si>
    <t>Percentage of total</t>
  </si>
  <si>
    <t>Gender</t>
  </si>
  <si>
    <t>Amount allowed 
(R million)</t>
  </si>
  <si>
    <t>Taxable income group</t>
  </si>
  <si>
    <t>Deduction</t>
  </si>
  <si>
    <r>
      <t>Other</t>
    </r>
    <r>
      <rPr>
        <vertAlign val="superscript"/>
        <sz val="8"/>
        <rFont val="Arial"/>
        <family val="2"/>
      </rPr>
      <t>1</t>
    </r>
  </si>
  <si>
    <t>Fringe benefit</t>
  </si>
  <si>
    <t>Meals and refreshments vouchers</t>
  </si>
  <si>
    <t>Bursaries and scholarships</t>
  </si>
  <si>
    <t xml:space="preserve">1.  Number of individuals registered as at 31 March of each year.  </t>
  </si>
  <si>
    <t>Below 18</t>
  </si>
  <si>
    <t>18 - 24</t>
  </si>
  <si>
    <t>25 - 34</t>
  </si>
  <si>
    <t>35 - 44</t>
  </si>
  <si>
    <t>45 - 54</t>
  </si>
  <si>
    <t>55 - 64</t>
  </si>
  <si>
    <t>Amount 
(R million)</t>
  </si>
  <si>
    <t>Amount
(R million)</t>
  </si>
  <si>
    <t>Total &gt; 0 taxable income</t>
  </si>
  <si>
    <t>Telephone/Cell phone allowance</t>
  </si>
  <si>
    <t>Total &lt;= 0 taxable income</t>
  </si>
  <si>
    <t>Taxable 
income 
(R million)</t>
  </si>
  <si>
    <t>Agencies and other services</t>
  </si>
  <si>
    <t>Agriculture, forestry and fishing</t>
  </si>
  <si>
    <t>Catering and accommodation</t>
  </si>
  <si>
    <t>Clothing and footwear</t>
  </si>
  <si>
    <t>Educational services</t>
  </si>
  <si>
    <t>Food, drink and tobacco</t>
  </si>
  <si>
    <t>Long term insurance</t>
  </si>
  <si>
    <t>Machinery and related items</t>
  </si>
  <si>
    <t>Mining and quarrying</t>
  </si>
  <si>
    <t>Other manufacturing industries</t>
  </si>
  <si>
    <t>Paper, printing and publishing</t>
  </si>
  <si>
    <t>Personal and household services</t>
  </si>
  <si>
    <t>Research and scientific institutes</t>
  </si>
  <si>
    <t>Retail trade</t>
  </si>
  <si>
    <t>Scientific, optical and similar equipment</t>
  </si>
  <si>
    <t>Social and related community services</t>
  </si>
  <si>
    <t>Transport equipment</t>
  </si>
  <si>
    <t>Transport, storage and communications</t>
  </si>
  <si>
    <t>Wholesale trade</t>
  </si>
  <si>
    <t>Reimbursive travel allowance - taxable</t>
  </si>
  <si>
    <t>= 0</t>
  </si>
  <si>
    <t>Specialised repair services</t>
  </si>
  <si>
    <t>Bricks, ceramic, glass, cement and similar products</t>
  </si>
  <si>
    <t>Chemicals and chemical, rubber and plastic products</t>
  </si>
  <si>
    <t>Coal and petroleum products</t>
  </si>
  <si>
    <t>Electricity, gas and water</t>
  </si>
  <si>
    <t>Financing, insurance, real estate and business services</t>
  </si>
  <si>
    <t>Medical, dental and other health and veterinary services</t>
  </si>
  <si>
    <t>Recreation and cultural services</t>
  </si>
  <si>
    <t>Vehicles, parts and accessories</t>
  </si>
  <si>
    <t>Wood, wood products and furniture</t>
  </si>
  <si>
    <t>Subsistence allowance - local</t>
  </si>
  <si>
    <t>Medical expenses (disabled)</t>
  </si>
  <si>
    <t>Sector</t>
  </si>
  <si>
    <t>Marginal PIT rates</t>
  </si>
  <si>
    <t>and over</t>
  </si>
  <si>
    <t>–</t>
  </si>
  <si>
    <t>Rebates</t>
  </si>
  <si>
    <t>Primary</t>
  </si>
  <si>
    <t>Secondary</t>
  </si>
  <si>
    <t>Tax thresholds</t>
  </si>
  <si>
    <t>Below age 65</t>
  </si>
  <si>
    <t>Age 65 and over</t>
  </si>
  <si>
    <t>Manufacturing</t>
  </si>
  <si>
    <t>Wholesale and retail trade, catering and accommodation</t>
  </si>
  <si>
    <t>Community, social and personal services</t>
  </si>
  <si>
    <t>Primary sector</t>
  </si>
  <si>
    <t>Secondary sector</t>
  </si>
  <si>
    <t>Tertiary sector</t>
  </si>
  <si>
    <r>
      <t>Province</t>
    </r>
    <r>
      <rPr>
        <vertAlign val="superscript"/>
        <sz val="8"/>
        <rFont val="Arial"/>
        <family val="2"/>
      </rPr>
      <t>1</t>
    </r>
  </si>
  <si>
    <t>Age group (years)</t>
  </si>
  <si>
    <t>Medical aid paid on behalf of employee</t>
  </si>
  <si>
    <t>TABLES IN TEXT</t>
  </si>
  <si>
    <t>FIGURES</t>
  </si>
  <si>
    <t>TABLES</t>
  </si>
  <si>
    <t>CONTENTS</t>
  </si>
  <si>
    <t>1.  Includes only taxable allowances.</t>
  </si>
  <si>
    <t>Tax assessed</t>
  </si>
  <si>
    <t>Retirement</t>
  </si>
  <si>
    <t>Tax year</t>
  </si>
  <si>
    <t>Percentage growth in register</t>
  </si>
  <si>
    <t>Share options exercised</t>
  </si>
  <si>
    <t>Travel expenses - fixed cost - business cost claimed against allowance</t>
  </si>
  <si>
    <t>Travel expenses - actual business cost</t>
  </si>
  <si>
    <t>Subsistence allowance (local) - taxable</t>
  </si>
  <si>
    <t>Depreciation</t>
  </si>
  <si>
    <t>Average current pension fund</t>
  </si>
  <si>
    <t>Average medical expenses</t>
  </si>
  <si>
    <t>Average current retirement annuity</t>
  </si>
  <si>
    <t>Average travel expenses</t>
  </si>
  <si>
    <t>Percentage of total taxpayers</t>
  </si>
  <si>
    <r>
      <t>Registered</t>
    </r>
    <r>
      <rPr>
        <vertAlign val="superscript"/>
        <sz val="8"/>
        <color indexed="8"/>
        <rFont val="Arial"/>
        <family val="2"/>
      </rPr>
      <t>1</t>
    </r>
  </si>
  <si>
    <r>
      <t>Liable to submit returns</t>
    </r>
    <r>
      <rPr>
        <vertAlign val="superscript"/>
        <sz val="8"/>
        <color indexed="8"/>
        <rFont val="Arial"/>
        <family val="2"/>
      </rPr>
      <t>2</t>
    </r>
  </si>
  <si>
    <t>Percentage assessed</t>
  </si>
  <si>
    <t>Annual payment (bonus, leave pay etc.)</t>
  </si>
  <si>
    <t>Commission</t>
  </si>
  <si>
    <t>Overtime</t>
  </si>
  <si>
    <t>Annuity from a retirement annuity fund</t>
  </si>
  <si>
    <t>Profit - Local rental</t>
  </si>
  <si>
    <t>Loss - Local rental</t>
  </si>
  <si>
    <t>Pension income (only taxable portion)</t>
  </si>
  <si>
    <t>Director's income</t>
  </si>
  <si>
    <t>Independent contractors</t>
  </si>
  <si>
    <t>Source of income</t>
  </si>
  <si>
    <t>Income (Salaries and wages, remuneration)</t>
  </si>
  <si>
    <t>Taxable income group
Percentage of total</t>
  </si>
  <si>
    <t>Sector
Percentage of total</t>
  </si>
  <si>
    <t>Capital gain - Local</t>
  </si>
  <si>
    <t>Capital gain - Foreign</t>
  </si>
  <si>
    <t>2009</t>
  </si>
  <si>
    <t>Males</t>
  </si>
  <si>
    <t>Females</t>
  </si>
  <si>
    <t>Taxpayers</t>
  </si>
  <si>
    <t>Gross</t>
  </si>
  <si>
    <t>Taxable portion only</t>
  </si>
  <si>
    <t>Local interest</t>
  </si>
  <si>
    <t>Foreign interest</t>
  </si>
  <si>
    <t>Pension income</t>
  </si>
  <si>
    <t>Annual payment</t>
  </si>
  <si>
    <t>Allowance</t>
  </si>
  <si>
    <t>Number of 
taxpayers 
assessed</t>
  </si>
  <si>
    <t>Income (Salaries, wages, remuneration)</t>
  </si>
  <si>
    <t>Payment of employees' debt</t>
  </si>
  <si>
    <t>Tax year
Rand</t>
  </si>
  <si>
    <t>2010</t>
  </si>
  <si>
    <t>Gauteng includes Gauteng Central, Gauteng North, Gauteng South, LBC and Special Units</t>
  </si>
  <si>
    <t>Other/unknown added to males</t>
  </si>
  <si>
    <t xml:space="preserve">4010 TOOL  ALLOWANCE                                                  </t>
  </si>
  <si>
    <t xml:space="preserve">4012 ENTERTAINMENT EXPENSES-ALLOWANCE                                 </t>
  </si>
  <si>
    <t xml:space="preserve">4013 ENTERTAINMENT EXPENSES-ACTUAL                                    </t>
  </si>
  <si>
    <t xml:space="preserve">4026 NSF ARREAR  PENSION FUND CONTRIBUTIONS                           </t>
  </si>
  <si>
    <t>4041 AMOUNTS TAXED ON IRP5 BUT COMPLY WITH EXEMPTIONS I.T.O. SECTION 1</t>
  </si>
  <si>
    <t xml:space="preserve">4042 AMOUNTS REFUNDED I.T.O. SECTION 11(NA) AND 11(NB)                </t>
  </si>
  <si>
    <t xml:space="preserve">4043 ALLOWABLE ACCOUNTANCY FEES                                       </t>
  </si>
  <si>
    <t xml:space="preserve">4210 RENTAL PROFIT - LOCAL                                            </t>
  </si>
  <si>
    <t xml:space="preserve">4211 RENTAL LOSS - LOCAL                                              </t>
  </si>
  <si>
    <t>Income protection contributions</t>
  </si>
  <si>
    <t>Home office expense</t>
  </si>
  <si>
    <t>Check to A2.7.1</t>
  </si>
  <si>
    <t>Check totals A2.1.1</t>
  </si>
  <si>
    <t>Check to table A2.1.1</t>
  </si>
  <si>
    <t>Check to A2.5.1</t>
  </si>
  <si>
    <t>Balancing</t>
  </si>
  <si>
    <t>75 and older</t>
  </si>
  <si>
    <t>65 - 74</t>
  </si>
  <si>
    <t>&lt;= 0</t>
  </si>
  <si>
    <t>1 – 60 000</t>
  </si>
  <si>
    <t>60 001 – 120 000</t>
  </si>
  <si>
    <t>Foreign allowances</t>
  </si>
  <si>
    <t xml:space="preserve">3715 SUBSISTENCE ALLOWANCE (FOREIGN TRAVELLING) - TAXABLE             </t>
  </si>
  <si>
    <t xml:space="preserve">3717 EMPLOYEES BROAD BASED SHARE PLAN - TAXABLE                       </t>
  </si>
  <si>
    <t xml:space="preserve">3718 VESTING OF EQUITY INSTRUMENTS                                    </t>
  </si>
  <si>
    <t xml:space="preserve">3751 FOREIGN TRAVELLING ALLOWANCE                                     </t>
  </si>
  <si>
    <t xml:space="preserve">3752 FOREIGN RE-IMBURSIVE TRAVEL ALLOW - TAX                          </t>
  </si>
  <si>
    <t xml:space="preserve">3754 FOREIGN EMPLOYMENT SUBSISTENCE ALLOWANCE(NATURE M) - TAXABLE     </t>
  </si>
  <si>
    <t xml:space="preserve">3756 FOREIGN ENTERTAINMENT ALLOWANCE                                  </t>
  </si>
  <si>
    <t xml:space="preserve">3757 FOREIGN SHARE OPTION EXERCISED                                   </t>
  </si>
  <si>
    <t xml:space="preserve">3758 FOREIGN PUBLIC OFFICE ALLOWANCE                                  </t>
  </si>
  <si>
    <t xml:space="preserve">3760 FOREIGN TOOL ALLOWANCE                                           </t>
  </si>
  <si>
    <t xml:space="preserve">3761 FOREIGN COMPUTER ALLOWANCE                                       </t>
  </si>
  <si>
    <t xml:space="preserve">3762 FOREIGN TELEPHONE/CELL PHONE ALLOWANCE                           </t>
  </si>
  <si>
    <t xml:space="preserve">3763 FOREIGN OTHER ALLOWANCES - TAXABLE                               </t>
  </si>
  <si>
    <t>3765 FOREIGN EMPLOYMENT SUBSISTENCE ALLOWANCE (FOREIGN TRAVELLING) (NA</t>
  </si>
  <si>
    <t xml:space="preserve">3767 FOREIGN EMPLOYMENT EMPLOYEES BROAD BASED SHARE PLAN (NATURE M) - </t>
  </si>
  <si>
    <t>3768 FOREIGN EMPLOYMENT VESTING OF EQUITY INSTRUMENTS (NATURE M) - TAX</t>
  </si>
  <si>
    <t>2.  Includes insurance policies ceded to individual and any other benefit or asset received.</t>
  </si>
  <si>
    <t>3.  Foreign fringe benefits (codes 3851 to 3863).</t>
  </si>
  <si>
    <r>
      <t>Foreign fringe benefits</t>
    </r>
    <r>
      <rPr>
        <vertAlign val="superscript"/>
        <sz val="8"/>
        <rFont val="Arial"/>
        <family val="2"/>
      </rPr>
      <t>3</t>
    </r>
  </si>
  <si>
    <r>
      <t>Acquisition of asset at less than the actual value</t>
    </r>
    <r>
      <rPr>
        <vertAlign val="superscript"/>
        <sz val="8"/>
        <rFont val="Arial"/>
        <family val="2"/>
      </rPr>
      <t>1</t>
    </r>
  </si>
  <si>
    <r>
      <t>New consolidated code 3801</t>
    </r>
    <r>
      <rPr>
        <vertAlign val="superscript"/>
        <sz val="8"/>
        <rFont val="Arial"/>
        <family val="2"/>
      </rPr>
      <t>1</t>
    </r>
  </si>
  <si>
    <t xml:space="preserve">3812 ANY OTHER BENEFIT OR ASSET RECEIVED                              </t>
  </si>
  <si>
    <t>3813 MEDICAL COSTS PAID BY EMPLOYER IRO TAXPAYER, SPOUSE, CHILDREN &amp; O</t>
  </si>
  <si>
    <t xml:space="preserve">3851 FOREIGN ACQUISITION OF ASSETS LESS THAN                          </t>
  </si>
  <si>
    <t xml:space="preserve">3852 FOREIGN USE OF MOTOR VEHICLE                                     </t>
  </si>
  <si>
    <t xml:space="preserve">3853 FOREIGN RIGHT OF USE OF ASSET                                    </t>
  </si>
  <si>
    <t xml:space="preserve">3854 FOREIGN MEAL &amp; REFRESHMENTS VOUCHERS                             </t>
  </si>
  <si>
    <t xml:space="preserve">3855 FOREIGN FREE OR CHEAP RESIDENTIAL/ HOLID                         </t>
  </si>
  <si>
    <t xml:space="preserve">3856 FOREIGN FREE OR CHEAP SERVICES                                   </t>
  </si>
  <si>
    <t xml:space="preserve">3857 FOREIGN LOW OR INTEREST-FREE LOANS:HOUSE                         </t>
  </si>
  <si>
    <t xml:space="preserve">3858 FOREIGN PAYMENT OF EMPLOYEE'S DEBT ECT                           </t>
  </si>
  <si>
    <t xml:space="preserve">3859 FOREIGN BURSARIES &amp; SCHOLARSHIPS                                 </t>
  </si>
  <si>
    <t xml:space="preserve">3860 FOREIGN MEDICAL AID PAID ON YOUR BEHALF                          </t>
  </si>
  <si>
    <t xml:space="preserve">3863 MEDICAL SERVICES COSTS - FOREIGN                                 </t>
  </si>
  <si>
    <t>Foreign</t>
  </si>
  <si>
    <t>Check to A2.6.1</t>
  </si>
  <si>
    <t xml:space="preserve">4031 SECTION 8C LOSSES                                                </t>
  </si>
  <si>
    <t xml:space="preserve">4044 LEGAL EXPENSES I.T.O. SECTION 11(C)                              </t>
  </si>
  <si>
    <t xml:space="preserve">4045 BAD DEBT/ PROVISION FOR DOUBTFUL DEBT                            </t>
  </si>
  <si>
    <t xml:space="preserve">4046 USE OF MOTOR VEHICLE                                             </t>
  </si>
  <si>
    <t xml:space="preserve">4047 HOLDERS OF PUBLIC OFFICE: DEDUCTION I.T.O. SECTION 8(1)(D)       </t>
  </si>
  <si>
    <t>From Table A2.1.6</t>
  </si>
  <si>
    <t>Individual younger than 65</t>
  </si>
  <si>
    <t>Increase in earnings due to inflation</t>
  </si>
  <si>
    <t>Year</t>
  </si>
  <si>
    <t>Consumer Price Index</t>
  </si>
  <si>
    <t>Inflation</t>
  </si>
  <si>
    <t>Tax at each years rate</t>
  </si>
  <si>
    <t>Effective rate (Applicable rate)</t>
  </si>
  <si>
    <t>1994/95</t>
  </si>
  <si>
    <t>1995/96</t>
  </si>
  <si>
    <t>1996/97</t>
  </si>
  <si>
    <t>1997/98</t>
  </si>
  <si>
    <t>1998/99</t>
  </si>
  <si>
    <t>1999/00</t>
  </si>
  <si>
    <t>2000/01</t>
  </si>
  <si>
    <t>2001/02</t>
  </si>
  <si>
    <t>2002/03</t>
  </si>
  <si>
    <t>2003/04</t>
  </si>
  <si>
    <t>2004/05</t>
  </si>
  <si>
    <t>2005/06</t>
  </si>
  <si>
    <t>2006/07</t>
  </si>
  <si>
    <t>2007/08</t>
  </si>
  <si>
    <t>2008/09</t>
  </si>
  <si>
    <t>2009/10</t>
  </si>
  <si>
    <t>2010/11</t>
  </si>
  <si>
    <t>0</t>
  </si>
  <si>
    <t>Period</t>
  </si>
  <si>
    <t>1st Provisional period</t>
  </si>
  <si>
    <t>Percentage change</t>
  </si>
  <si>
    <t>2nd Provisional period</t>
  </si>
  <si>
    <t>3rd Provisional period</t>
  </si>
  <si>
    <t>R million
Fiscal year</t>
  </si>
  <si>
    <t>From Table A2.1.3</t>
  </si>
  <si>
    <t>Metal (including metal products)</t>
  </si>
  <si>
    <t>From Table A2.5.1</t>
  </si>
  <si>
    <t>From Table A2.7.1</t>
  </si>
  <si>
    <t>Calculations for comments in PIT chapter</t>
  </si>
  <si>
    <t>Reasoning for taxable income groups</t>
  </si>
  <si>
    <t>SITE threshold</t>
  </si>
  <si>
    <t>R120 000 threshold for submitting returns</t>
  </si>
  <si>
    <r>
      <t>New consolidated code 3601</t>
    </r>
    <r>
      <rPr>
        <vertAlign val="superscript"/>
        <sz val="8"/>
        <rFont val="Arial"/>
        <family val="2"/>
      </rPr>
      <t>1</t>
    </r>
  </si>
  <si>
    <t>Rows hidden percentages 37 - 44</t>
  </si>
  <si>
    <t>All other sectors</t>
  </si>
  <si>
    <t>All other sources of income</t>
  </si>
  <si>
    <t>All other allowances</t>
  </si>
  <si>
    <t>All other deductions</t>
  </si>
  <si>
    <t>Deductions</t>
  </si>
  <si>
    <t>Inflation factor</t>
  </si>
  <si>
    <t>Effective rates</t>
  </si>
  <si>
    <t>TAXABLE INCOME</t>
  </si>
  <si>
    <t>RATES OF TAX</t>
  </si>
  <si>
    <t>R</t>
  </si>
  <si>
    <t>-</t>
  </si>
  <si>
    <t>17 % of each R 1</t>
  </si>
  <si>
    <t>+</t>
  </si>
  <si>
    <t xml:space="preserve"> of the amount above</t>
  </si>
  <si>
    <t>REBATES OF TAX</t>
  </si>
  <si>
    <t xml:space="preserve">Age 65 and over (additional to primary rebate) </t>
  </si>
  <si>
    <t>TAX THRESHOLD</t>
  </si>
  <si>
    <t>Below the age of 65</t>
  </si>
  <si>
    <t xml:space="preserve"> of each R 1</t>
  </si>
  <si>
    <t>and above</t>
  </si>
  <si>
    <t>CPI</t>
  </si>
  <si>
    <r>
      <t>Other allowances - taxable</t>
    </r>
    <r>
      <rPr>
        <vertAlign val="superscript"/>
        <sz val="8"/>
        <rFont val="Arial"/>
        <family val="2"/>
      </rPr>
      <t>2</t>
    </r>
  </si>
  <si>
    <r>
      <t>Other</t>
    </r>
    <r>
      <rPr>
        <vertAlign val="superscript"/>
        <sz val="8"/>
        <rFont val="Arial"/>
        <family val="2"/>
      </rPr>
      <t>3</t>
    </r>
  </si>
  <si>
    <r>
      <t>Foreign allowances</t>
    </r>
    <r>
      <rPr>
        <vertAlign val="superscript"/>
        <sz val="8"/>
        <rFont val="Arial"/>
        <family val="2"/>
      </rPr>
      <t>4</t>
    </r>
  </si>
  <si>
    <t>New consolidated code 3713</t>
  </si>
  <si>
    <t>4.  Foreign taxable allowances (codes 3751 to 3768).</t>
  </si>
  <si>
    <t>3.  Includes subsistence allowance (foreign travelling), employees broad-based share plan and vesting of equity instruments.</t>
  </si>
  <si>
    <r>
      <t>New consolidated code 3713</t>
    </r>
    <r>
      <rPr>
        <vertAlign val="superscript"/>
        <sz val="8"/>
        <rFont val="Arial"/>
        <family val="2"/>
      </rPr>
      <t>2</t>
    </r>
  </si>
  <si>
    <t>2011/12</t>
  </si>
  <si>
    <t xml:space="preserve">Age 75 and over (additional to primary rebate) </t>
  </si>
  <si>
    <t>Age 65 to below 75</t>
  </si>
  <si>
    <t>Age 75 and over</t>
  </si>
  <si>
    <t>2011</t>
  </si>
  <si>
    <r>
      <t>2011</t>
    </r>
    <r>
      <rPr>
        <vertAlign val="superscript"/>
        <sz val="8"/>
        <color theme="1"/>
        <rFont val="Arial"/>
        <family val="2"/>
      </rPr>
      <t>3</t>
    </r>
  </si>
  <si>
    <t>From Table A2.2.1</t>
  </si>
  <si>
    <t xml:space="preserve">4048 EMPLOYER PROVIDED VEHICLE EXPENSES                               </t>
  </si>
  <si>
    <t>Income before deductions
(R million)</t>
  </si>
  <si>
    <t>Income before deductions</t>
  </si>
  <si>
    <t>Loss</t>
  </si>
  <si>
    <t>Number</t>
  </si>
  <si>
    <t>Tax paid</t>
  </si>
  <si>
    <t>Taxes paid</t>
  </si>
  <si>
    <t>Date</t>
  </si>
  <si>
    <t>Income group</t>
  </si>
  <si>
    <t>Income group
Percentage of total</t>
  </si>
  <si>
    <t>Deductions allowed
(R million)</t>
  </si>
  <si>
    <t>Average</t>
  </si>
  <si>
    <t>From Table A2.1.1</t>
  </si>
  <si>
    <t>% tax paid on income</t>
  </si>
  <si>
    <t>3.  Compulsory for all employees of employer to be registered for income tax from 2011.</t>
  </si>
  <si>
    <t>BACK TO CONTENTS</t>
  </si>
  <si>
    <t>R0 to R60 000</t>
  </si>
  <si>
    <t>R60 000 to R120 000</t>
  </si>
  <si>
    <t>Average taxable income (R)</t>
  </si>
  <si>
    <t>2.  Includes where the sector was indicated as Other (as per SARS source code) or where the sector was left blank on the return.</t>
  </si>
  <si>
    <t>Table A2.7.2: Assessed individual taxpayers: Deductions - Current pension fund contributions (code 4001) by taxable income group, 2009 – 2012</t>
  </si>
  <si>
    <t>Table A2.7.1: Assessed individual taxpayers: Deductions, 2009 – 2012</t>
  </si>
  <si>
    <t>Table A2.6.4: Assessed individual taxpayers: Fringe benefits - Medical aid paid on behalf of employee (code 3810) by taxable income group, 2009 – 2012</t>
  </si>
  <si>
    <t>Table A2.6.3: Assessed individual taxpayers: Fringe benefits - Use of motor vehicle (code 3802) by taxable income group, 2009 – 2012</t>
  </si>
  <si>
    <t>Table A2.6.1: Assessed individual taxpayers: Fringe benefits, 2009 – 2012</t>
  </si>
  <si>
    <t>Table A2.5.3: Assessed individual taxpayers: Allowances - Share options exercised (code 3707) by taxable income group, 2009 – 2012</t>
  </si>
  <si>
    <t>Table A2.5.1: Assessed individual taxpayers: Allowances, 2009 – 2012</t>
  </si>
  <si>
    <t>Table A2.4.1: Assessed individual taxpayers with business income: Taxable income and tax assessed by sector, 2009 – 2012</t>
  </si>
  <si>
    <t>Table A2.2.1: Assessed individual taxpayers: Selected sources of income, 2009 – 2012</t>
  </si>
  <si>
    <t>Table A2.1.6: Percentage of assessed individual taxpayers by taxable income group and gender, 2009 – 2012</t>
  </si>
  <si>
    <t>Table A2.1.5: Assessed individual taxpayers: Taxable income and tax assessed by gender, 2009 – 2012</t>
  </si>
  <si>
    <t>Table A2.1.4: Assessed individual taxpayers: Taxable income and tax assessed by age group, 2009 – 2012</t>
  </si>
  <si>
    <t>Table A2.1.3: Assessed individual taxpayers: Taxable income and tax assessed by province, 2009 – 2012</t>
  </si>
  <si>
    <t>Table A2.1.2: Assessed individual taxpayers: Taxable income and income before deductions by income group, 2009 – 2012</t>
  </si>
  <si>
    <t>Table A2.1.1: Assessed individual taxpayers: Taxable income and tax assessed by taxable income group, 2009 – 2012</t>
  </si>
  <si>
    <t>Table 2.4: Number of individual taxpayers, 2009 – 2012</t>
  </si>
  <si>
    <t>2012/13</t>
  </si>
  <si>
    <r>
      <t>Tertiary</t>
    </r>
    <r>
      <rPr>
        <vertAlign val="superscript"/>
        <sz val="8"/>
        <rFont val="Arial"/>
        <family val="2"/>
      </rPr>
      <t>1</t>
    </r>
  </si>
  <si>
    <r>
      <t>Age 75 and over</t>
    </r>
    <r>
      <rPr>
        <vertAlign val="superscript"/>
        <sz val="8"/>
        <rFont val="Arial"/>
        <family val="2"/>
      </rPr>
      <t>1</t>
    </r>
  </si>
  <si>
    <t>2.  Liable taxpayers are those who are liable to submit a return for a specific tax year. Cases can be on register and</t>
  </si>
  <si>
    <t xml:space="preserve">     active for other years, but may not be active for the specific tax year.</t>
  </si>
  <si>
    <t>Average tax assessed 
(R)</t>
  </si>
  <si>
    <t>Tax assessed as a % of taxable income</t>
  </si>
  <si>
    <t>120 001 – 500 000</t>
  </si>
  <si>
    <t>R490 000 top income tax bracket in 2009</t>
  </si>
  <si>
    <t>500 000 +</t>
  </si>
  <si>
    <t>Reasoning for summarised taxable income groups</t>
  </si>
  <si>
    <r>
      <t xml:space="preserve">Table A2.1.1: Assessed individual taxpayers: Taxable income and tax assessed by taxable income group, 2009 – 2012 </t>
    </r>
    <r>
      <rPr>
        <i/>
        <sz val="9"/>
        <rFont val="Arial"/>
        <family val="2"/>
      </rPr>
      <t>(continued)</t>
    </r>
  </si>
  <si>
    <t>2012</t>
  </si>
  <si>
    <r>
      <t xml:space="preserve">Table A2.1.2: Assessed individual taxpayers: Taxable income and income before deductions by income group, 2009 – 2012 </t>
    </r>
    <r>
      <rPr>
        <i/>
        <sz val="9"/>
        <rFont val="Arial"/>
        <family val="2"/>
      </rPr>
      <t>(continued)</t>
    </r>
  </si>
  <si>
    <t>R120 000 to R500 000</t>
  </si>
  <si>
    <t>R500 000 +</t>
  </si>
  <si>
    <t>Added to 35-44 age group</t>
  </si>
  <si>
    <t>From Table A2.1.4</t>
  </si>
  <si>
    <t>% Female</t>
  </si>
  <si>
    <t>% Male</t>
  </si>
  <si>
    <r>
      <t>Agencies and other services</t>
    </r>
    <r>
      <rPr>
        <vertAlign val="superscript"/>
        <sz val="8"/>
        <rFont val="Arial"/>
        <family val="2"/>
      </rPr>
      <t>1</t>
    </r>
  </si>
  <si>
    <t xml:space="preserve">DIRECTOR FEES                                                         </t>
  </si>
  <si>
    <t xml:space="preserve">INVESTMENTS                                                           </t>
  </si>
  <si>
    <t>Public administration</t>
  </si>
  <si>
    <t xml:space="preserve">LUMP SUMS                                                             </t>
  </si>
  <si>
    <t xml:space="preserve">NORMAL INCOME PER IRP5                                                </t>
  </si>
  <si>
    <t>Financial intermediation, insurance, real-estate &amp; business services</t>
  </si>
  <si>
    <r>
      <t>Agriculture, forestry and fishing</t>
    </r>
    <r>
      <rPr>
        <vertAlign val="superscript"/>
        <sz val="8"/>
        <rFont val="Arial"/>
        <family val="2"/>
      </rPr>
      <t>2</t>
    </r>
  </si>
  <si>
    <t>2.  Includes assessed losses of farmers.</t>
  </si>
  <si>
    <t>3.  Includes where the sector was indicated as Other (as per SARS source code) or where the sector was left blank on the return.</t>
  </si>
  <si>
    <r>
      <t xml:space="preserve">Table A2.4.1: Assessed individual taxpayers with business income: Taxable income and tax assessed by sector, 2009 – 2012 </t>
    </r>
    <r>
      <rPr>
        <i/>
        <sz val="9"/>
        <rFont val="Arial"/>
        <family val="2"/>
      </rPr>
      <t>(continued)</t>
    </r>
  </si>
  <si>
    <t xml:space="preserve">NOWN                                                                  </t>
  </si>
  <si>
    <t>Leather, leather goods and fur (excl. footwear &amp; clothing)</t>
  </si>
  <si>
    <t>Table A2.3.1: Assessed individual taxpayers: Taxable income and tax assessed by sector, 2009 – 2012</t>
  </si>
  <si>
    <t>Table A2.3.2: Assessed individual taxpayers: Taxable income and tax assessed by economic activity, 2009 – 2012</t>
  </si>
  <si>
    <r>
      <t xml:space="preserve">Table A2.5.3: Assessed individual taxpayers: Allowances - Share options exercised (code 3707) by taxable income group, 2009 – 2012 </t>
    </r>
    <r>
      <rPr>
        <i/>
        <sz val="9"/>
        <rFont val="Arial"/>
        <family val="2"/>
      </rPr>
      <t>(continued)</t>
    </r>
  </si>
  <si>
    <t>3814 NON-TAXABLE BENEFIT IN RESPECT OF NSF PENSION BENEFITS PAID BY EM</t>
  </si>
  <si>
    <r>
      <t>Table A2.6.2: Assessed individual taxpayers: Fringe benefits - Acquisition of asset (code 3801)</t>
    </r>
    <r>
      <rPr>
        <vertAlign val="superscript"/>
        <sz val="9"/>
        <rFont val="Arial"/>
        <family val="2"/>
      </rPr>
      <t>1</t>
    </r>
    <r>
      <rPr>
        <b/>
        <sz val="9"/>
        <rFont val="Arial"/>
        <family val="2"/>
      </rPr>
      <t xml:space="preserve"> by taxable income group, 2009 – 2012</t>
    </r>
  </si>
  <si>
    <r>
      <t xml:space="preserve">Table A2.6.2: Assessed individual taxpayers: Fringe benefits - Acquisition of asset (code 3801) by taxable income group, 2009 – 2012 </t>
    </r>
    <r>
      <rPr>
        <i/>
        <sz val="9"/>
        <rFont val="Arial"/>
        <family val="2"/>
      </rPr>
      <t>(continued)</t>
    </r>
  </si>
  <si>
    <r>
      <t xml:space="preserve">Table A2.6.3: Assessed individual taxpayers: Fringe benefits - Use of motor vehicle (code 3802) by taxable income group, 2009 – 2012 </t>
    </r>
    <r>
      <rPr>
        <i/>
        <sz val="9"/>
        <rFont val="Arial"/>
        <family val="2"/>
      </rPr>
      <t>(continued)</t>
    </r>
  </si>
  <si>
    <t xml:space="preserve">4019 SUBSISTENCE EXPENSES-FOREIGN                                     </t>
  </si>
  <si>
    <t xml:space="preserve">Tax 
assessed
</t>
  </si>
  <si>
    <r>
      <t xml:space="preserve">Table A2.7.2: Assessed individual taxpayers: Deductions - Current pension fund contributions (code 4001) by taxable income group, 2009 – 2012 </t>
    </r>
    <r>
      <rPr>
        <i/>
        <sz val="9"/>
        <rFont val="Arial"/>
        <family val="2"/>
      </rPr>
      <t>(continued)</t>
    </r>
  </si>
  <si>
    <t>120 001 – 200 000</t>
  </si>
  <si>
    <t>200 001 – 500 000</t>
  </si>
  <si>
    <t xml:space="preserve">3706 ENTERTAINMENT ALLOWANCE                                          </t>
  </si>
  <si>
    <t xml:space="preserve">3710 TOOL ALLOWANCE                                                   </t>
  </si>
  <si>
    <t xml:space="preserve">3711 COMPUTER ALLOWANCE                                               </t>
  </si>
  <si>
    <t xml:space="preserve">3712 TELEPHONE/CELL PHONE ALLOWANCE                                   </t>
  </si>
  <si>
    <t>Consolidated code 3713</t>
  </si>
  <si>
    <t xml:space="preserve">3713 OTHER ALLOWANCES - TAXABLE                                       </t>
  </si>
  <si>
    <t xml:space="preserve">GAUTENG CENTRAL                                                       </t>
  </si>
  <si>
    <t xml:space="preserve">GAUTENG NORTH                                                         </t>
  </si>
  <si>
    <t xml:space="preserve">GAUTENG SOUTH                                                         </t>
  </si>
  <si>
    <t xml:space="preserve">LARGE BUSINESS CENTRE                                                 </t>
  </si>
  <si>
    <t xml:space="preserve">SPECIAL UNITS                                                         </t>
  </si>
  <si>
    <t>35-44 age group</t>
  </si>
  <si>
    <t xml:space="preserve">Male                                                                  </t>
  </si>
  <si>
    <t xml:space="preserve">Unknown                                                               </t>
  </si>
  <si>
    <t>Blanks</t>
  </si>
  <si>
    <t xml:space="preserve">4003 PROVIDENT FUND CONTRIBUTIONS                                     </t>
  </si>
  <si>
    <t>Arrears pension fund contributions</t>
  </si>
  <si>
    <t>1.  Includes provident fund contributions, tool, entertainment and foreign subsistence allowances and other deductions.</t>
  </si>
  <si>
    <t>10 001 – 20 000</t>
  </si>
  <si>
    <r>
      <t xml:space="preserve">Table A2.3.1: Assessed individual taxpayers: Taxable income and tax assessed by sector, 2009 – 2012 </t>
    </r>
    <r>
      <rPr>
        <i/>
        <sz val="9"/>
        <rFont val="Arial"/>
        <family val="2"/>
      </rPr>
      <t>(continued)</t>
    </r>
  </si>
  <si>
    <r>
      <t>2012</t>
    </r>
    <r>
      <rPr>
        <vertAlign val="superscript"/>
        <sz val="8"/>
        <color theme="1"/>
        <rFont val="Arial"/>
        <family val="2"/>
      </rPr>
      <t>2</t>
    </r>
  </si>
  <si>
    <r>
      <t>1995</t>
    </r>
    <r>
      <rPr>
        <vertAlign val="superscript"/>
        <sz val="8"/>
        <color theme="1"/>
        <rFont val="Arial"/>
        <family val="2"/>
      </rPr>
      <t>1</t>
    </r>
  </si>
  <si>
    <r>
      <t>2012</t>
    </r>
    <r>
      <rPr>
        <vertAlign val="superscript"/>
        <sz val="8"/>
        <color theme="1"/>
        <rFont val="Arial"/>
        <family val="2"/>
      </rPr>
      <t>3</t>
    </r>
  </si>
  <si>
    <t>Tax at 
2012 rates</t>
  </si>
  <si>
    <t>Tax at 
1995 rates</t>
  </si>
  <si>
    <t>TAX RATES FOR INDIVIDUALS 2011/12 (2012 Tax year)</t>
  </si>
  <si>
    <t>TAX RATES FOR INDIVIDUALS 1994/95 (1995 Tax year)</t>
  </si>
  <si>
    <t>Tax @ 1995 rates</t>
  </si>
  <si>
    <t>Nominal earnings in 1995:</t>
  </si>
  <si>
    <t>Effective rate (1995)</t>
  </si>
  <si>
    <r>
      <t>Allowance</t>
    </r>
    <r>
      <rPr>
        <vertAlign val="superscript"/>
        <sz val="8"/>
        <rFont val="Arial"/>
        <family val="2"/>
      </rPr>
      <t>1</t>
    </r>
  </si>
  <si>
    <r>
      <t xml:space="preserve">Table A2.6.4: Assessed individual taxpayers: Fringe benefits - Medical aid paid on behalf of employee (code 3810) by taxable income group, 2009 – 2010 </t>
    </r>
    <r>
      <rPr>
        <i/>
        <sz val="9"/>
        <rFont val="Arial"/>
        <family val="2"/>
      </rPr>
      <t>(continued)</t>
    </r>
  </si>
  <si>
    <t>Deduction value</t>
  </si>
  <si>
    <t>0 – 5 000</t>
  </si>
  <si>
    <t>25 001 – 30 000</t>
  </si>
  <si>
    <t>20 001 – 25 000</t>
  </si>
  <si>
    <t>30 001 – 35 000</t>
  </si>
  <si>
    <t>35 001 – 40 000</t>
  </si>
  <si>
    <t>45 001 – 50 000</t>
  </si>
  <si>
    <t>100 001 – 120 000</t>
  </si>
  <si>
    <t>120 001 – 140 000</t>
  </si>
  <si>
    <t>140 001 – 160 000</t>
  </si>
  <si>
    <t>160 001 – 180 000</t>
  </si>
  <si>
    <t>180 001 – 200 000</t>
  </si>
  <si>
    <t>40 001 – 45 000</t>
  </si>
  <si>
    <t>5 001 – 10 000</t>
  </si>
  <si>
    <t>10 001 – 15 000</t>
  </si>
  <si>
    <t>200 001 +</t>
  </si>
  <si>
    <t>1. A third rebate of R2 000 was introduced in the 2011 Budget for taxpayers 75 years and older.</t>
  </si>
  <si>
    <t>1. The Agencies and other services sector may be overstated due to it being the default/first sector selected by taxpayers upon registration at SARS.</t>
  </si>
  <si>
    <t>Province</t>
  </si>
  <si>
    <t>Personal income tax (PIT)</t>
  </si>
  <si>
    <t>%</t>
  </si>
  <si>
    <t>3. This scenario assumes no fiscal drag relief with tax rates being kept at 1995 rates.</t>
  </si>
  <si>
    <t>Change between income and taxable income</t>
  </si>
  <si>
    <t>Average taxable income</t>
  </si>
  <si>
    <t>1.</t>
  </si>
  <si>
    <t>Based on the office where the taxpayer is registered and not necessarily the province where the taxpayer resides or works.  The provincial allocation is thus a reflection of the province in which the taxpayer's office is located.</t>
  </si>
  <si>
    <r>
      <t>Manufacturing</t>
    </r>
    <r>
      <rPr>
        <vertAlign val="superscript"/>
        <sz val="8"/>
        <rFont val="Arial"/>
        <family val="2"/>
      </rPr>
      <t>2</t>
    </r>
  </si>
  <si>
    <r>
      <t>Wholesale and retail trade, catering and accommodation</t>
    </r>
    <r>
      <rPr>
        <vertAlign val="superscript"/>
        <sz val="8"/>
        <rFont val="Arial"/>
        <family val="2"/>
      </rPr>
      <t>3</t>
    </r>
  </si>
  <si>
    <t>Transport, storage and communication</t>
  </si>
  <si>
    <r>
      <t>Financial intermediation, insurance, real-estate and business services</t>
    </r>
    <r>
      <rPr>
        <vertAlign val="superscript"/>
        <sz val="8"/>
        <rFont val="Arial"/>
        <family val="2"/>
      </rPr>
      <t>4</t>
    </r>
  </si>
  <si>
    <r>
      <t>Community, social and personal services</t>
    </r>
    <r>
      <rPr>
        <vertAlign val="superscript"/>
        <sz val="8"/>
        <rFont val="Arial"/>
        <family val="2"/>
      </rPr>
      <t>5</t>
    </r>
  </si>
  <si>
    <r>
      <t>Other</t>
    </r>
    <r>
      <rPr>
        <vertAlign val="superscript"/>
        <sz val="8"/>
        <rFont val="Arial"/>
        <family val="2"/>
      </rPr>
      <t>6</t>
    </r>
  </si>
  <si>
    <t xml:space="preserve">1.  </t>
  </si>
  <si>
    <t>SARS' source of income code is used to classify according to the Standard Industrial Classification (SIC) system.  SARS' source of income code is not fully aligned with the SIC system that Statistics South Africa uses.</t>
  </si>
  <si>
    <t>2.</t>
  </si>
  <si>
    <t>Includes the following SARS sectors – Bricks, ceramic, glass, cement and similar products; Chemicals and chemical, rubber and plastic products; Clothing and footwear; Coal and petroleum products; Food, drink and tobacco; Leather, leather goods and fur (excl. footwear &amp; clothing); Machinery and related items; Metal (including metal products); Other manufacturing industries; Paper, printing and publishing; Scientific, optical and similar equipment; Textiles; Transport equipment; and Wood, wood products and furniture.</t>
  </si>
  <si>
    <t>3.</t>
  </si>
  <si>
    <t>Includes the following SARS sectors – Catering and accommodation; Retail trade; Specialised repair services; Vehicles, parts and accessories; and Wholesale trade.</t>
  </si>
  <si>
    <t>4.</t>
  </si>
  <si>
    <t>Includes the following SARS sectors – Agencies and other services; Financing, insurance, real estate and business services; Long term insurance; and Research and scientific institutes.</t>
  </si>
  <si>
    <t>5.</t>
  </si>
  <si>
    <t>6.</t>
  </si>
  <si>
    <t>Includes where the source of income was indicated as Other (as per SARS source code) or where the source of income was left blank on the return.</t>
  </si>
  <si>
    <t>Check to A2.3.1</t>
  </si>
  <si>
    <t>Includes the following SARS sectors – Educational services; Medical, dental and other health and veterinary services; Personal and household services; Public administration; Recreation and cultural services; and Social and related community services.</t>
  </si>
  <si>
    <t>From Table A2.3.2</t>
  </si>
  <si>
    <t xml:space="preserve"> Primary sector</t>
  </si>
  <si>
    <t xml:space="preserve"> Secondary sector</t>
  </si>
  <si>
    <t xml:space="preserve"> Tertiary sector</t>
  </si>
  <si>
    <r>
      <t xml:space="preserve">Table A2.7.6: Assessed individual taxpayers: Deductions - Travel expenses (fixed cost - business cost claimed against travel allowance) (code 4014) by taxable income group, 2009 – 2012 </t>
    </r>
    <r>
      <rPr>
        <i/>
        <sz val="9"/>
        <rFont val="Arial"/>
        <family val="2"/>
      </rPr>
      <t>(continued)</t>
    </r>
  </si>
  <si>
    <t>Table A2.7.6: Assessed individual taxpayers: Deductions - Travel expenses (fixed cost - business cost claimed against travel allowance) (code 4014) by taxable income group, 2009 – 2012</t>
  </si>
  <si>
    <r>
      <t xml:space="preserve">Table A2.7.5: Assessed individual taxpayers: Deductions - Medical expenses (disabled) (code 4009) by taxable income group, 2009 – 2012 </t>
    </r>
    <r>
      <rPr>
        <i/>
        <sz val="9"/>
        <rFont val="Arial"/>
        <family val="2"/>
      </rPr>
      <t>(continued)</t>
    </r>
  </si>
  <si>
    <t>Table A2.7.5: Assessed individual taxpayers: Deductions - Medical expenses (disabled) (code 4009) by taxable income group, 2009 – 2012</t>
  </si>
  <si>
    <r>
      <t xml:space="preserve">Table A2.7.4: Assessed individual taxpayers: Deductions - Medical expenses (total) (code 4008) by taxable income group, 2009 – 2012 </t>
    </r>
    <r>
      <rPr>
        <i/>
        <sz val="9"/>
        <rFont val="Arial"/>
        <family val="2"/>
      </rPr>
      <t>(continued)</t>
    </r>
  </si>
  <si>
    <t>Table A2.7.4: Assessed individual taxpayers: Deductions - Medical expenses (total) (code 4008) by taxable income group, 2009 – 2012</t>
  </si>
  <si>
    <r>
      <t>Table A2.7.3: Assessed individual taxpayers: Deductions - Current retirement annuity fund contributions (code 4006) by taxable income group, 2009 – 2012</t>
    </r>
    <r>
      <rPr>
        <i/>
        <sz val="9"/>
        <rFont val="Arial"/>
        <family val="2"/>
      </rPr>
      <t xml:space="preserve"> (continued)</t>
    </r>
  </si>
  <si>
    <t>Table A2.7.3: Assessed individual taxpayers: Deductions - Current retirement annuity fund contributions (code 4006) by taxable income group, 2009 – 2012</t>
  </si>
  <si>
    <t>Table A2.7.7: Assessed individual taxpayers: Deductions - Travel expenses (actual business cost) (code 4015) by taxable income group, 2009 – 2012</t>
  </si>
  <si>
    <r>
      <t xml:space="preserve">Table A2.7.7: Assessed individual taxpayers: Deductions - Travel expenses (actual business cost) (code 4015) by taxable income group, 2009 – 2012 </t>
    </r>
    <r>
      <rPr>
        <i/>
        <sz val="9"/>
        <rFont val="Arial"/>
        <family val="2"/>
      </rPr>
      <t>(continued)</t>
    </r>
  </si>
  <si>
    <t>Table A2.7.8: Assessed individual taxpayers: Deductions - Other (code 4016) by taxable income group, 2009 – 2012</t>
  </si>
  <si>
    <r>
      <t>Table A2.7.8: Assessed individual taxpayers: Deductions - Other (code 4016) by taxable income group, 2009 – 2012</t>
    </r>
    <r>
      <rPr>
        <i/>
        <sz val="9"/>
        <rFont val="Arial"/>
        <family val="2"/>
      </rPr>
      <t xml:space="preserve"> (continued)</t>
    </r>
  </si>
  <si>
    <t>Table A2.7.9: Assessed individual taxpayers: Deductions - Current pension fund contributions (code 4001) by deduction value, 2009 – 2012</t>
  </si>
  <si>
    <t>Table A2.7.10: Assessed individual taxpayers: Deductions - Current retirement annuity fund contributions (code 4006) by deduction value, 2009 – 2012</t>
  </si>
  <si>
    <t>Table A2.7.11: Assessed individual taxpayers: Deductions - Medical expenses (total) (code 4008) by deduction value, 2009 – 2012</t>
  </si>
  <si>
    <t>Table A2.7.12: Assessed individual taxpayers: Deductions - Travel expenses (fixed cost - business cost claimed against travel allowance) (code 4014) by deduction value, 2009 – 2012</t>
  </si>
  <si>
    <t>Travel allowance</t>
  </si>
  <si>
    <t>Table A2.5.2: Assessed individual taxpayers: Allowances - Travel allowance (code 3701) by taxable income group, 2009 – 2012</t>
  </si>
  <si>
    <r>
      <t xml:space="preserve">Table A2.5.2: Assessed individual taxpayers: Allowances - Travel allowance (code 3701) by taxable income group, 2009 – 2012 </t>
    </r>
    <r>
      <rPr>
        <i/>
        <sz val="9"/>
        <rFont val="Arial"/>
        <family val="2"/>
      </rPr>
      <t>(continued)</t>
    </r>
  </si>
  <si>
    <t xml:space="preserve">Source for Consumer Price Index (CPI) data: Statistics SA. </t>
  </si>
  <si>
    <t>Figure 2.4: Percentage of assessed individual taxpayers by age group, 2009 – 2012</t>
  </si>
  <si>
    <t>Figure 2.3: Assessed individual taxpayers and tax assessed by province, 2012</t>
  </si>
  <si>
    <t>Figure 2.9: Assessed individual taxpayers' deductions, 2012</t>
  </si>
  <si>
    <t>Figure 2.8: Assessed individual taxpayers' allowances, 2012</t>
  </si>
  <si>
    <t>Figure 2.7: Assessed individual taxpayers’ tax assessed by economic activity, 2012</t>
  </si>
  <si>
    <t>Figure 2.6: Assessed individual taxpayers’ taxable income by source of income, 2012</t>
  </si>
  <si>
    <t>Figure 2.5: Number of male and female assessed individual taxpayers by main taxable income group, 2012</t>
  </si>
  <si>
    <t>Table 2.2: Tax relief granted to individuals, 1995 and 2012</t>
  </si>
  <si>
    <t>Table 2.3: Provisional tax payments by provisional period, 2008/09 – 2012/13</t>
  </si>
  <si>
    <t>Taxable income brackets</t>
  </si>
  <si>
    <t>Figure 2.1: Example of tax relief granted to an individual with taxable income of R100 000 in 1995</t>
  </si>
  <si>
    <t>Financial intermediation, insurance, real-estate and business services</t>
  </si>
  <si>
    <t>Table 2.1: Personal Income Tax (PIT) brackets, 2009 and 2012</t>
  </si>
  <si>
    <t>Table 2.7: Assessed individual taxpayers by income group, deductions granted and taxable income, 2012</t>
  </si>
  <si>
    <t>1. Excludes the Transitional levy.</t>
  </si>
  <si>
    <t xml:space="preserve">2. 2012 based on 1995 adjusted by inflation. </t>
  </si>
  <si>
    <t>Percentage of income granted as a deduction</t>
  </si>
  <si>
    <r>
      <t>Table A2.5.4: Assessed individual taxpayers: Allowances - Other allowances (code 3713)</t>
    </r>
    <r>
      <rPr>
        <vertAlign val="superscript"/>
        <sz val="9"/>
        <rFont val="Arial"/>
        <family val="2"/>
      </rPr>
      <t>1</t>
    </r>
    <r>
      <rPr>
        <b/>
        <sz val="9"/>
        <rFont val="Arial"/>
        <family val="2"/>
      </rPr>
      <t xml:space="preserve"> by taxable income group, 2009 – 2012</t>
    </r>
  </si>
  <si>
    <r>
      <t xml:space="preserve">Table A2.5.4: Assessed individual taxpayers: Allowances - Other allowances (code 3713) by taxable income group, 2007 – 2010 </t>
    </r>
    <r>
      <rPr>
        <i/>
        <sz val="9"/>
        <rFont val="Arial"/>
        <family val="2"/>
      </rPr>
      <t>(continued)</t>
    </r>
  </si>
  <si>
    <t>Table 2.5: Summary of assessed individual taxpayers, taxable income and tax assessed, 2009 – 2012</t>
  </si>
  <si>
    <t>Table 2.6: Distribution of assessed individual taxpayers over major taxable income groups, 2009 – 2012</t>
  </si>
  <si>
    <t>Number of 
taxpayers</t>
  </si>
  <si>
    <t xml:space="preserve">Average income per assessed taxpayer 
(Rand) </t>
  </si>
  <si>
    <t xml:space="preserve">Average deduction allowed
 (Rand) </t>
  </si>
  <si>
    <t xml:space="preserve">Average taxable income per assessed taxpayer 
(Rand) </t>
  </si>
  <si>
    <t>Community, social &amp; personal services</t>
  </si>
  <si>
    <t>Wholesale &amp; retail trade, catering &amp; accommodation</t>
  </si>
  <si>
    <t>Mining &amp; quarrying</t>
  </si>
  <si>
    <t>Transport, storage &amp; communication</t>
  </si>
  <si>
    <t>1.  As from the 2010 tax year, income source codes 3603, 3607, 3610 were consolidated into source code 3601.</t>
  </si>
  <si>
    <t>2.  As from the 2010 tax year, allowance source codes 3706, 3710, 3711 and 3712 were consolidated into source code 3713.</t>
  </si>
  <si>
    <t>1.  As from the 2010 tax year, allowance source codes 3706, 3710, 3711 and 3712 were consolidated into source code 3713.</t>
  </si>
  <si>
    <t>1.  As from the 2010 tax year, fringe benefit source codes 3803 to 3809 were consolidated into source code 3801.</t>
  </si>
  <si>
    <t>Total taxable income</t>
  </si>
  <si>
    <t>Percentage increase in top bracket</t>
  </si>
  <si>
    <t>Percentage increase</t>
  </si>
  <si>
    <t>Current retirement annuity fund contributions</t>
  </si>
  <si>
    <t>Arrears retirement annuity fund contributions</t>
  </si>
  <si>
    <r>
      <t xml:space="preserve">2009 </t>
    </r>
    <r>
      <rPr>
        <i/>
        <sz val="8"/>
        <rFont val="Arial"/>
        <family val="2"/>
      </rPr>
      <t>[94.5% assessed]</t>
    </r>
  </si>
  <si>
    <r>
      <t xml:space="preserve">2010 </t>
    </r>
    <r>
      <rPr>
        <i/>
        <sz val="8"/>
        <rFont val="Arial"/>
        <family val="2"/>
      </rPr>
      <t>[94.6% assessed]</t>
    </r>
  </si>
  <si>
    <r>
      <t xml:space="preserve">2011 </t>
    </r>
    <r>
      <rPr>
        <i/>
        <sz val="8"/>
        <rFont val="Arial"/>
        <family val="2"/>
      </rPr>
      <t>[92.2% assessed]</t>
    </r>
  </si>
  <si>
    <r>
      <t>2012</t>
    </r>
    <r>
      <rPr>
        <i/>
        <sz val="8"/>
        <rFont val="Arial"/>
        <family val="2"/>
      </rPr>
      <t xml:space="preserve"> [86.9% assessed]</t>
    </r>
  </si>
  <si>
    <t>Figure 2.2: Distribution of assessed individual taxpayers by taxable income group,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</si>
</sst>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4" formatCode="_ &quot;R&quot;\ * #,##0.00_ ;_ &quot;R&quot;\ * \-#,##0.00_ ;_ &quot;R&quot;\ * &quot;-&quot;??_ ;_ @_ "/>
    <numFmt numFmtId="43" formatCode="_ * #,##0.00_ ;_ * \-#,##0.00_ ;_ * &quot;-&quot;??_ ;_ @_ "/>
    <numFmt numFmtId="164" formatCode="0.0%"/>
    <numFmt numFmtId="165" formatCode="_(* #,##0_);_*\ \-#,##0_);_(* &quot;–&quot;_);_(@_)"/>
    <numFmt numFmtId="166" formatCode="_(* #,##0_____);_*\ \-#,##0_);_(* &quot;–&quot;_);_(@_)"/>
    <numFmt numFmtId="167" formatCode="0.0%______;\-0.0%;_(* &quot;–&quot;_____);_(@_)"/>
    <numFmt numFmtId="168" formatCode="_ * #,##0.0%_ ;_ * \-#,##0.0%_ "/>
    <numFmt numFmtId="169" formatCode="_ * #,##0_____ ;_ * \-#,##0_ ;_ * &quot;-&quot;??_ ;_ @_ "/>
    <numFmt numFmtId="170" formatCode="_ * #,##0_ ;_ * \-#,##0_ ;_ * &quot;-&quot;??_ ;_ @_ "/>
    <numFmt numFmtId="171" formatCode="_ [$R-1C09]\ * #,##0.00_ ;_ [$R-1C09]\ * \-#,##0.00_ ;_ [$R-1C09]\ * &quot;-&quot;??_ ;_ @_ "/>
    <numFmt numFmtId="172" formatCode="0.0"/>
    <numFmt numFmtId="173" formatCode="_ [$R-1C09]\ * #,##0_ ;_ [$R-1C09]\ * \-#,##0_ ;_ [$R-1C09]\ * &quot;-&quot;??_ ;_ @_ "/>
    <numFmt numFmtId="174" formatCode="_ * #,##0.0_ ;_ * \-#,##0.0_ ;_ * &quot;-&quot;??_ ;_ @_ "/>
    <numFmt numFmtId="175" formatCode="#\ ###\ ###\ ###\ ###\ ###"/>
    <numFmt numFmtId="176" formatCode="_(* #,##0.0%_);_*\ \-#,##0.0%_);_(* &quot;–&quot;_);_(@_)"/>
    <numFmt numFmtId="177" formatCode="_(* #,##0_____);_*\ \-#,##0_____);_(* &quot;–&quot;_);_(@_)"/>
    <numFmt numFmtId="178" formatCode="_(* #,##0.0%_____);_*\ \-#,##0.0%_____);_(* &quot;–&quot;_);_(@_)"/>
    <numFmt numFmtId="179" formatCode="_(* #,##0_________);_*\ \-#,##0_________);_(* &quot;–&quot;_);_(@_)"/>
    <numFmt numFmtId="180" formatCode="_(* #,##0.0%_________);_*\ \-#,##0.0%_________);_(* &quot;–&quot;_);_(@_)"/>
    <numFmt numFmtId="181" formatCode="_ * #,##0.000000_ ;_ * \-#,##0.000000_ ;_ * &quot;-&quot;??_ ;_ @_ "/>
    <numFmt numFmtId="182" formatCode="&quot;R&quot;#,##0.0&quot;bn&quot;;&quot;R&quot;\ \-#,##0.0&quot;bn&quot;"/>
    <numFmt numFmtId="183" formatCode="_(* #,##0_______);_*\ \-#,##0_______);_(* &quot;–      &quot;_);_(@_)"/>
    <numFmt numFmtId="184" formatCode="_(* #,##0.0%_______);_*\ \-#,##0.0%_______);_(* &quot;–      &quot;_);_(@_)"/>
    <numFmt numFmtId="185" formatCode="_(* #,##0_____);_*\ \-#,##0_____);_(* &quot;–      &quot;_);_(@_)"/>
    <numFmt numFmtId="186" formatCode="_(* #,##0_______);_*\ \-#,##0_______);_(* &quot;–&quot;_);_(@_)"/>
    <numFmt numFmtId="187" formatCode="_(* #,##0___);_*\ \-#,##0___);_(* &quot;–&quot;_);_(@_)"/>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b/>
      <sz val="8"/>
      <name val="Arial"/>
      <family val="2"/>
    </font>
    <font>
      <sz val="8"/>
      <name val="Arial"/>
      <family val="2"/>
    </font>
    <font>
      <b/>
      <sz val="8"/>
      <color indexed="8"/>
      <name val="ARIAL"/>
      <family val="2"/>
    </font>
    <font>
      <b/>
      <sz val="10"/>
      <name val="Arial Narrow"/>
      <family val="2"/>
    </font>
    <font>
      <sz val="10"/>
      <name val="Arial Narrow"/>
      <family val="2"/>
    </font>
    <font>
      <i/>
      <sz val="8"/>
      <color indexed="10"/>
      <name val="Arial"/>
      <family val="2"/>
    </font>
    <font>
      <i/>
      <sz val="8"/>
      <name val="Arial"/>
      <family val="2"/>
    </font>
    <font>
      <vertAlign val="superscript"/>
      <sz val="8"/>
      <name val="Arial"/>
      <family val="2"/>
    </font>
    <font>
      <vertAlign val="superscript"/>
      <sz val="8"/>
      <color indexed="8"/>
      <name val="Arial"/>
      <family val="2"/>
    </font>
    <font>
      <u/>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Arial"/>
      <family val="2"/>
    </font>
    <font>
      <i/>
      <sz val="8"/>
      <color rgb="FFFF0000"/>
      <name val="Arial"/>
      <family val="2"/>
    </font>
    <font>
      <sz val="8"/>
      <color rgb="FFFF0000"/>
      <name val="Arial"/>
      <family val="2"/>
    </font>
    <font>
      <sz val="10"/>
      <color rgb="FFFF0000"/>
      <name val="Arial"/>
      <family val="2"/>
    </font>
    <font>
      <sz val="10"/>
      <name val="Arial"/>
      <family val="2"/>
    </font>
    <font>
      <b/>
      <sz val="8"/>
      <color rgb="FFFF0000"/>
      <name val="Arial"/>
      <family val="2"/>
    </font>
    <font>
      <b/>
      <sz val="8"/>
      <color indexed="10"/>
      <name val="Arial"/>
      <family val="2"/>
    </font>
    <font>
      <sz val="10"/>
      <name val="MS Sans Serif"/>
      <family val="2"/>
    </font>
    <font>
      <sz val="10"/>
      <color theme="1"/>
      <name val="Tahoma"/>
      <family val="2"/>
    </font>
    <font>
      <sz val="10"/>
      <name val="MS Sans Serif"/>
      <family val="2"/>
    </font>
    <font>
      <b/>
      <sz val="10"/>
      <color indexed="8"/>
      <name val="Arial"/>
      <family val="2"/>
    </font>
    <font>
      <sz val="10"/>
      <color indexed="8"/>
      <name val="Arial"/>
      <family val="2"/>
    </font>
    <font>
      <sz val="8"/>
      <color theme="1"/>
      <name val="Calibri"/>
      <family val="2"/>
      <scheme val="minor"/>
    </font>
    <font>
      <sz val="8"/>
      <color theme="1"/>
      <name val="Arial"/>
      <family val="2"/>
    </font>
    <font>
      <b/>
      <sz val="8"/>
      <color theme="1"/>
      <name val="Arial"/>
      <family val="2"/>
    </font>
    <font>
      <vertAlign val="superscript"/>
      <sz val="8"/>
      <color theme="1"/>
      <name val="Arial"/>
      <family val="2"/>
    </font>
    <font>
      <b/>
      <i/>
      <sz val="8"/>
      <color rgb="FFFF0000"/>
      <name val="Arial"/>
      <family val="2"/>
    </font>
    <font>
      <u/>
      <sz val="10"/>
      <color rgb="FFFF0000"/>
      <name val="Arial"/>
      <family val="2"/>
    </font>
    <font>
      <sz val="10"/>
      <color rgb="FF00B050"/>
      <name val="Arial"/>
      <family val="2"/>
    </font>
    <font>
      <sz val="8"/>
      <color rgb="FF00B050"/>
      <name val="Arial"/>
      <family val="2"/>
    </font>
    <font>
      <sz val="11"/>
      <color theme="0" tint="-0.34998626667073579"/>
      <name val="Calibri"/>
      <family val="2"/>
      <scheme val="minor"/>
    </font>
    <font>
      <b/>
      <sz val="9"/>
      <name val="Arial"/>
      <family val="2"/>
    </font>
    <font>
      <sz val="9"/>
      <name val="Arial"/>
      <family val="2"/>
    </font>
    <font>
      <i/>
      <sz val="9"/>
      <name val="Arial"/>
      <family val="2"/>
    </font>
    <font>
      <sz val="8"/>
      <color theme="3" tint="0.79998168889431442"/>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theme="7"/>
      <name val="Arial"/>
      <family val="2"/>
    </font>
    <font>
      <b/>
      <sz val="8"/>
      <color theme="7"/>
      <name val="Arial"/>
      <family val="2"/>
    </font>
    <font>
      <sz val="10"/>
      <color theme="7"/>
      <name val="Arial"/>
      <family val="2"/>
    </font>
    <font>
      <vertAlign val="superscript"/>
      <sz val="9"/>
      <name val="Arial"/>
      <family val="2"/>
    </font>
    <font>
      <u/>
      <sz val="10"/>
      <color indexed="12"/>
      <name val="MS Sans Serif"/>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00CCFF"/>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12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11"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0" borderId="0"/>
    <xf numFmtId="0" fontId="24" fillId="0" borderId="0"/>
    <xf numFmtId="0" fontId="24" fillId="0" borderId="0"/>
    <xf numFmtId="0" fontId="24" fillId="0" borderId="0"/>
    <xf numFmtId="0" fontId="24" fillId="0" borderId="0"/>
    <xf numFmtId="0" fontId="24"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8" fillId="0" borderId="0"/>
    <xf numFmtId="0" fontId="8" fillId="0" borderId="0"/>
    <xf numFmtId="43" fontId="45" fillId="0" borderId="0" applyFont="0" applyFill="0" applyBorder="0" applyAlignment="0" applyProtection="0"/>
    <xf numFmtId="0" fontId="7" fillId="0" borderId="0"/>
    <xf numFmtId="0" fontId="6"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49"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6" fillId="0" borderId="0"/>
    <xf numFmtId="0" fontId="48" fillId="0" borderId="0"/>
    <xf numFmtId="0" fontId="8" fillId="0" borderId="0"/>
    <xf numFmtId="0" fontId="49" fillId="0" borderId="0"/>
    <xf numFmtId="0" fontId="8" fillId="0" borderId="0"/>
    <xf numFmtId="0" fontId="50" fillId="0" borderId="0"/>
    <xf numFmtId="0" fontId="8" fillId="0" borderId="0"/>
    <xf numFmtId="9" fontId="48" fillId="0" borderId="0" applyFont="0" applyFill="0" applyBorder="0" applyAlignment="0" applyProtection="0"/>
    <xf numFmtId="4" fontId="51" fillId="29" borderId="0" applyNumberFormat="0" applyProtection="0">
      <alignment horizontal="left" vertical="center" indent="1"/>
    </xf>
    <xf numFmtId="4" fontId="52" fillId="30" borderId="49" applyNumberFormat="0" applyProtection="0">
      <alignment horizontal="left" vertical="center" indent="1"/>
    </xf>
    <xf numFmtId="0" fontId="5" fillId="0" borderId="0"/>
    <xf numFmtId="9" fontId="5" fillId="0" borderId="0" applyFont="0" applyFill="0" applyBorder="0" applyAlignment="0" applyProtection="0"/>
    <xf numFmtId="43" fontId="5" fillId="0" borderId="0" applyFont="0" applyFill="0" applyBorder="0" applyAlignment="0" applyProtection="0"/>
    <xf numFmtId="4" fontId="51" fillId="22" borderId="49" applyNumberFormat="0" applyProtection="0">
      <alignment vertical="center"/>
    </xf>
    <xf numFmtId="4" fontId="66" fillId="24" borderId="49" applyNumberFormat="0" applyProtection="0">
      <alignment vertical="center"/>
    </xf>
    <xf numFmtId="4" fontId="51" fillId="24" borderId="49" applyNumberFormat="0" applyProtection="0">
      <alignment horizontal="left" vertical="center" indent="1"/>
    </xf>
    <xf numFmtId="0" fontId="51" fillId="24" borderId="49" applyNumberFormat="0" applyProtection="0">
      <alignment horizontal="left" vertical="top" indent="1"/>
    </xf>
    <xf numFmtId="4" fontId="52" fillId="3" borderId="49" applyNumberFormat="0" applyProtection="0">
      <alignment horizontal="right" vertical="center"/>
    </xf>
    <xf numFmtId="4" fontId="52" fillId="9" borderId="49" applyNumberFormat="0" applyProtection="0">
      <alignment horizontal="right" vertical="center"/>
    </xf>
    <xf numFmtId="4" fontId="52" fillId="17" borderId="49" applyNumberFormat="0" applyProtection="0">
      <alignment horizontal="right" vertical="center"/>
    </xf>
    <xf numFmtId="4" fontId="52" fillId="11" borderId="49" applyNumberFormat="0" applyProtection="0">
      <alignment horizontal="right" vertical="center"/>
    </xf>
    <xf numFmtId="4" fontId="52" fillId="15" borderId="49" applyNumberFormat="0" applyProtection="0">
      <alignment horizontal="right" vertical="center"/>
    </xf>
    <xf numFmtId="4" fontId="52" fillId="19" borderId="49" applyNumberFormat="0" applyProtection="0">
      <alignment horizontal="right" vertical="center"/>
    </xf>
    <xf numFmtId="4" fontId="52" fillId="18" borderId="49" applyNumberFormat="0" applyProtection="0">
      <alignment horizontal="right" vertical="center"/>
    </xf>
    <xf numFmtId="4" fontId="52" fillId="31" borderId="49" applyNumberFormat="0" applyProtection="0">
      <alignment horizontal="right" vertical="center"/>
    </xf>
    <xf numFmtId="4" fontId="52" fillId="10" borderId="49" applyNumberFormat="0" applyProtection="0">
      <alignment horizontal="right" vertical="center"/>
    </xf>
    <xf numFmtId="4" fontId="51" fillId="32" borderId="50" applyNumberFormat="0" applyProtection="0">
      <alignment horizontal="left" vertical="center" indent="1"/>
    </xf>
    <xf numFmtId="4" fontId="52" fillId="33" borderId="0" applyNumberFormat="0" applyProtection="0">
      <alignment horizontal="left" vertical="center" indent="1"/>
    </xf>
    <xf numFmtId="4" fontId="67" fillId="34" borderId="0" applyNumberFormat="0" applyProtection="0">
      <alignment horizontal="left" vertical="center" indent="1"/>
    </xf>
    <xf numFmtId="4" fontId="52" fillId="30" borderId="49" applyNumberFormat="0" applyProtection="0">
      <alignment horizontal="right" vertical="center"/>
    </xf>
    <xf numFmtId="4" fontId="52" fillId="33" borderId="0" applyNumberFormat="0" applyProtection="0">
      <alignment horizontal="left" vertical="center" indent="1"/>
    </xf>
    <xf numFmtId="4" fontId="52" fillId="29" borderId="0" applyNumberFormat="0" applyProtection="0">
      <alignment horizontal="left" vertical="center" indent="1"/>
    </xf>
    <xf numFmtId="0" fontId="8" fillId="34" borderId="49" applyNumberFormat="0" applyProtection="0">
      <alignment horizontal="left" vertical="center" indent="1"/>
    </xf>
    <xf numFmtId="0" fontId="8" fillId="34" borderId="49" applyNumberFormat="0" applyProtection="0">
      <alignment horizontal="left" vertical="top" indent="1"/>
    </xf>
    <xf numFmtId="0" fontId="8" fillId="29" borderId="49" applyNumberFormat="0" applyProtection="0">
      <alignment horizontal="left" vertical="center" indent="1"/>
    </xf>
    <xf numFmtId="0" fontId="8" fillId="29" borderId="49" applyNumberFormat="0" applyProtection="0">
      <alignment horizontal="left" vertical="top" indent="1"/>
    </xf>
    <xf numFmtId="0" fontId="8" fillId="35" borderId="49" applyNumberFormat="0" applyProtection="0">
      <alignment horizontal="left" vertical="center" indent="1"/>
    </xf>
    <xf numFmtId="0" fontId="8" fillId="35" borderId="49" applyNumberFormat="0" applyProtection="0">
      <alignment horizontal="left" vertical="top" indent="1"/>
    </xf>
    <xf numFmtId="0" fontId="8" fillId="36" borderId="49" applyNumberFormat="0" applyProtection="0">
      <alignment horizontal="left" vertical="center" indent="1"/>
    </xf>
    <xf numFmtId="0" fontId="8" fillId="36" borderId="49" applyNumberFormat="0" applyProtection="0">
      <alignment horizontal="left" vertical="top" indent="1"/>
    </xf>
    <xf numFmtId="4" fontId="52" fillId="37" borderId="49" applyNumberFormat="0" applyProtection="0">
      <alignment vertical="center"/>
    </xf>
    <xf numFmtId="4" fontId="68" fillId="37" borderId="49" applyNumberFormat="0" applyProtection="0">
      <alignment vertical="center"/>
    </xf>
    <xf numFmtId="4" fontId="52" fillId="37" borderId="49" applyNumberFormat="0" applyProtection="0">
      <alignment horizontal="left" vertical="center" indent="1"/>
    </xf>
    <xf numFmtId="0" fontId="52" fillId="37" borderId="49" applyNumberFormat="0" applyProtection="0">
      <alignment horizontal="left" vertical="top" indent="1"/>
    </xf>
    <xf numFmtId="4" fontId="52" fillId="33" borderId="49" applyNumberFormat="0" applyProtection="0">
      <alignment horizontal="right" vertical="center"/>
    </xf>
    <xf numFmtId="4" fontId="68" fillId="33" borderId="49" applyNumberFormat="0" applyProtection="0">
      <alignment horizontal="right" vertical="center"/>
    </xf>
    <xf numFmtId="0" fontId="52" fillId="29" borderId="49" applyNumberFormat="0" applyProtection="0">
      <alignment horizontal="left" vertical="top" indent="1"/>
    </xf>
    <xf numFmtId="4" fontId="69" fillId="38" borderId="0" applyNumberFormat="0" applyProtection="0">
      <alignment horizontal="left" vertical="center" indent="1"/>
    </xf>
    <xf numFmtId="4" fontId="70" fillId="33" borderId="49" applyNumberFormat="0" applyProtection="0">
      <alignment horizontal="right" vertical="center"/>
    </xf>
    <xf numFmtId="0" fontId="3" fillId="0" borderId="0"/>
    <xf numFmtId="9" fontId="3" fillId="0" borderId="0" applyFont="0" applyFill="0" applyBorder="0" applyAlignment="0" applyProtection="0"/>
    <xf numFmtId="0" fontId="2" fillId="0" borderId="0"/>
    <xf numFmtId="0" fontId="8" fillId="0" borderId="0"/>
    <xf numFmtId="0" fontId="75" fillId="0" borderId="0" applyNumberForma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9" fontId="1" fillId="0" borderId="0" applyFont="0" applyFill="0" applyBorder="0" applyAlignment="0" applyProtection="0"/>
  </cellStyleXfs>
  <cellXfs count="1045">
    <xf numFmtId="0" fontId="0" fillId="0" borderId="0" xfId="0"/>
    <xf numFmtId="0" fontId="0" fillId="0" borderId="0" xfId="0" applyFill="1"/>
    <xf numFmtId="0" fontId="14" fillId="0" borderId="0" xfId="0" applyFont="1"/>
    <xf numFmtId="0" fontId="14" fillId="0" borderId="0" xfId="0" applyFont="1" applyBorder="1"/>
    <xf numFmtId="165" fontId="12" fillId="0" borderId="0" xfId="0" applyNumberFormat="1" applyFont="1" applyFill="1" applyBorder="1" applyAlignment="1" applyProtection="1">
      <alignment horizontal="right" vertical="center"/>
      <protection locked="0"/>
    </xf>
    <xf numFmtId="165" fontId="12" fillId="0" borderId="0" xfId="0" applyNumberFormat="1" applyFont="1" applyFill="1" applyBorder="1" applyAlignment="1" applyProtection="1">
      <alignment horizontal="left"/>
      <protection locked="0"/>
    </xf>
    <xf numFmtId="165" fontId="14" fillId="0" borderId="0"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12" fillId="0" borderId="0" xfId="0" applyFont="1" applyAlignment="1" applyProtection="1">
      <alignment vertical="center"/>
      <protection locked="0"/>
    </xf>
    <xf numFmtId="0" fontId="16" fillId="0" borderId="0" xfId="0" applyFont="1" applyFill="1" applyBorder="1" applyAlignment="1" applyProtection="1">
      <alignment vertical="top" wrapText="1"/>
    </xf>
    <xf numFmtId="0" fontId="14" fillId="0" borderId="0" xfId="0" applyFont="1" applyAlignment="1" applyProtection="1">
      <alignment vertical="center"/>
      <protection locked="0"/>
    </xf>
    <xf numFmtId="0" fontId="17" fillId="0" borderId="0" xfId="0" applyFont="1" applyFill="1" applyBorder="1" applyAlignment="1" applyProtection="1">
      <alignment horizontal="right" vertical="top" wrapText="1"/>
    </xf>
    <xf numFmtId="0" fontId="17" fillId="0" borderId="0" xfId="0" applyFont="1" applyFill="1" applyBorder="1" applyProtection="1">
      <protection locked="0"/>
    </xf>
    <xf numFmtId="0" fontId="0" fillId="0" borderId="0" xfId="0" applyNumberFormat="1" applyAlignment="1">
      <alignment vertical="center"/>
    </xf>
    <xf numFmtId="165" fontId="14" fillId="0" borderId="0" xfId="0" applyNumberFormat="1" applyFont="1" applyAlignment="1" applyProtection="1">
      <alignment horizontal="right" vertical="center"/>
      <protection locked="0"/>
    </xf>
    <xf numFmtId="165" fontId="14" fillId="0" borderId="0" xfId="0" applyNumberFormat="1" applyFont="1" applyFill="1" applyBorder="1" applyAlignment="1">
      <alignment horizontal="right" vertical="top"/>
    </xf>
    <xf numFmtId="0" fontId="14" fillId="0" borderId="0" xfId="0" applyFont="1" applyFill="1" applyBorder="1" applyAlignment="1">
      <alignment vertical="center"/>
    </xf>
    <xf numFmtId="0" fontId="14" fillId="0" borderId="0" xfId="0" applyFont="1" applyBorder="1" applyAlignment="1">
      <alignment vertical="center"/>
    </xf>
    <xf numFmtId="165" fontId="13" fillId="0" borderId="15" xfId="0" applyNumberFormat="1" applyFont="1" applyFill="1" applyBorder="1" applyAlignment="1">
      <alignment horizontal="right" vertical="top"/>
    </xf>
    <xf numFmtId="165" fontId="14" fillId="0" borderId="18" xfId="0" applyNumberFormat="1" applyFont="1" applyFill="1" applyBorder="1" applyAlignment="1">
      <alignment horizontal="right" vertical="top"/>
    </xf>
    <xf numFmtId="165" fontId="13" fillId="0" borderId="19" xfId="0" applyNumberFormat="1" applyFont="1" applyFill="1" applyBorder="1" applyAlignment="1">
      <alignment horizontal="right" vertical="top"/>
    </xf>
    <xf numFmtId="0" fontId="14" fillId="0" borderId="0" xfId="0" applyFont="1" applyBorder="1" applyAlignment="1" applyProtection="1">
      <alignment vertical="center"/>
      <protection locked="0"/>
    </xf>
    <xf numFmtId="165" fontId="18" fillId="0" borderId="0" xfId="0" applyNumberFormat="1" applyFont="1" applyFill="1" applyBorder="1" applyAlignment="1">
      <alignment horizontal="right" vertical="top"/>
    </xf>
    <xf numFmtId="164" fontId="14" fillId="0" borderId="0" xfId="45" applyNumberFormat="1" applyFont="1" applyFill="1" applyBorder="1" applyAlignment="1">
      <alignment horizontal="right" vertical="top"/>
    </xf>
    <xf numFmtId="165" fontId="14" fillId="0" borderId="21" xfId="0" applyNumberFormat="1" applyFont="1" applyFill="1" applyBorder="1" applyAlignment="1">
      <alignment horizontal="right" vertical="top"/>
    </xf>
    <xf numFmtId="165" fontId="13" fillId="0" borderId="22" xfId="0" applyNumberFormat="1" applyFont="1" applyFill="1" applyBorder="1" applyAlignment="1">
      <alignment horizontal="right" vertical="top"/>
    </xf>
    <xf numFmtId="0" fontId="0" fillId="0" borderId="12" xfId="0" applyFill="1" applyBorder="1"/>
    <xf numFmtId="0" fontId="14" fillId="0" borderId="0" xfId="0" applyFont="1" applyFill="1" applyBorder="1"/>
    <xf numFmtId="0" fontId="18" fillId="0" borderId="0" xfId="0" applyFont="1"/>
    <xf numFmtId="0" fontId="19" fillId="0" borderId="0" xfId="0" applyFont="1" applyFill="1" applyBorder="1" applyAlignment="1">
      <alignment vertical="center"/>
    </xf>
    <xf numFmtId="166" fontId="14" fillId="0" borderId="0" xfId="0" applyNumberFormat="1" applyFont="1" applyFill="1" applyBorder="1" applyAlignment="1">
      <alignment horizontal="right" vertical="top"/>
    </xf>
    <xf numFmtId="0" fontId="0" fillId="0" borderId="0" xfId="0" applyAlignment="1"/>
    <xf numFmtId="2" fontId="15" fillId="0" borderId="16" xfId="0" applyNumberFormat="1" applyFont="1" applyFill="1" applyBorder="1" applyAlignment="1">
      <alignment horizontal="center" vertical="top" wrapText="1"/>
    </xf>
    <xf numFmtId="2" fontId="15" fillId="0" borderId="14" xfId="0" applyNumberFormat="1" applyFont="1" applyFill="1" applyBorder="1" applyAlignment="1">
      <alignment horizontal="center" vertical="top" wrapText="1"/>
    </xf>
    <xf numFmtId="166" fontId="14" fillId="0" borderId="0" xfId="0" applyNumberFormat="1" applyFont="1" applyFill="1" applyBorder="1" applyAlignment="1">
      <alignment horizontal="center" vertical="top"/>
    </xf>
    <xf numFmtId="9" fontId="14" fillId="0" borderId="0" xfId="45" applyNumberFormat="1" applyFont="1" applyFill="1" applyBorder="1" applyAlignment="1">
      <alignment horizontal="center" vertical="top"/>
    </xf>
    <xf numFmtId="167" fontId="14" fillId="0" borderId="0" xfId="45" applyNumberFormat="1" applyFont="1" applyFill="1" applyBorder="1" applyAlignment="1">
      <alignment vertical="top"/>
    </xf>
    <xf numFmtId="166" fontId="14" fillId="0" borderId="0" xfId="0" quotePrefix="1" applyNumberFormat="1" applyFont="1" applyFill="1" applyBorder="1" applyAlignment="1">
      <alignment horizontal="center" vertical="center"/>
    </xf>
    <xf numFmtId="166" fontId="14" fillId="0" borderId="0" xfId="0" applyNumberFormat="1" applyFont="1" applyFill="1" applyBorder="1" applyAlignment="1">
      <alignment horizontal="right" vertical="center"/>
    </xf>
    <xf numFmtId="167" fontId="14" fillId="0" borderId="21" xfId="45" applyNumberFormat="1" applyFont="1" applyFill="1" applyBorder="1" applyAlignment="1">
      <alignment vertical="center"/>
    </xf>
    <xf numFmtId="166" fontId="14" fillId="0" borderId="11" xfId="0" applyNumberFormat="1" applyFont="1" applyFill="1" applyBorder="1" applyAlignment="1">
      <alignment horizontal="right" vertical="center"/>
    </xf>
    <xf numFmtId="0" fontId="0" fillId="0" borderId="0" xfId="0" applyBorder="1"/>
    <xf numFmtId="3" fontId="41" fillId="0" borderId="0" xfId="42" applyNumberFormat="1" applyFont="1"/>
    <xf numFmtId="3" fontId="41" fillId="0" borderId="0" xfId="39" applyNumberFormat="1" applyFont="1"/>
    <xf numFmtId="3" fontId="24" fillId="0" borderId="0" xfId="40" applyNumberFormat="1"/>
    <xf numFmtId="0" fontId="24" fillId="0" borderId="0" xfId="40"/>
    <xf numFmtId="0" fontId="41" fillId="0" borderId="0" xfId="41" applyFont="1"/>
    <xf numFmtId="3" fontId="41" fillId="0" borderId="0" xfId="41" applyNumberFormat="1" applyFont="1"/>
    <xf numFmtId="0" fontId="14" fillId="0" borderId="12" xfId="0" applyFont="1" applyFill="1" applyBorder="1"/>
    <xf numFmtId="0" fontId="14" fillId="0" borderId="0" xfId="0" quotePrefix="1" applyFont="1" applyFill="1" applyBorder="1" applyAlignment="1">
      <alignment vertical="center"/>
    </xf>
    <xf numFmtId="0" fontId="14" fillId="0" borderId="0" xfId="0" applyFont="1" applyFill="1" applyAlignment="1" applyProtection="1">
      <alignment vertical="center"/>
      <protection locked="0"/>
    </xf>
    <xf numFmtId="0" fontId="9" fillId="0" borderId="11" xfId="0" applyFont="1" applyFill="1" applyBorder="1" applyAlignment="1">
      <alignment horizontal="left"/>
    </xf>
    <xf numFmtId="0" fontId="8" fillId="0" borderId="0" xfId="49"/>
    <xf numFmtId="0" fontId="10" fillId="0" borderId="0" xfId="49" applyFont="1"/>
    <xf numFmtId="165" fontId="10" fillId="0" borderId="0" xfId="49" applyNumberFormat="1" applyFont="1" applyFill="1" applyBorder="1" applyAlignment="1" applyProtection="1">
      <alignment horizontal="right" vertical="center"/>
      <protection locked="0"/>
    </xf>
    <xf numFmtId="0" fontId="10" fillId="0" borderId="0" xfId="49" applyFont="1" applyAlignment="1" applyProtection="1">
      <alignment vertical="center"/>
      <protection locked="0"/>
    </xf>
    <xf numFmtId="168" fontId="14" fillId="0" borderId="0" xfId="45" applyNumberFormat="1" applyFont="1" applyFill="1" applyBorder="1" applyAlignment="1">
      <alignment horizontal="right" vertical="top"/>
    </xf>
    <xf numFmtId="168" fontId="14" fillId="0" borderId="21" xfId="45" applyNumberFormat="1" applyFont="1" applyFill="1" applyBorder="1" applyAlignment="1">
      <alignment horizontal="right" vertical="top"/>
    </xf>
    <xf numFmtId="168" fontId="13" fillId="0" borderId="15" xfId="45" applyNumberFormat="1" applyFont="1" applyFill="1" applyBorder="1" applyAlignment="1">
      <alignment horizontal="right" vertical="top"/>
    </xf>
    <xf numFmtId="168" fontId="13" fillId="0" borderId="22" xfId="45" applyNumberFormat="1" applyFont="1" applyFill="1" applyBorder="1" applyAlignment="1">
      <alignment horizontal="right" vertical="top"/>
    </xf>
    <xf numFmtId="0" fontId="8" fillId="0" borderId="0" xfId="49" applyFill="1"/>
    <xf numFmtId="165" fontId="12" fillId="0" borderId="0" xfId="0" applyNumberFormat="1" applyFont="1" applyFill="1" applyAlignment="1" applyProtection="1">
      <alignment horizontal="right" vertical="center"/>
      <protection locked="0"/>
    </xf>
    <xf numFmtId="165" fontId="14" fillId="0" borderId="0" xfId="0" applyNumberFormat="1" applyFont="1" applyFill="1" applyAlignment="1" applyProtection="1">
      <alignment horizontal="right" vertical="center"/>
      <protection locked="0"/>
    </xf>
    <xf numFmtId="3" fontId="41" fillId="0" borderId="0" xfId="41" applyNumberFormat="1" applyFont="1" applyFill="1"/>
    <xf numFmtId="3" fontId="24" fillId="0" borderId="0" xfId="40" applyNumberFormat="1" applyFill="1"/>
    <xf numFmtId="3" fontId="41" fillId="0" borderId="0" xfId="39" applyNumberFormat="1" applyFont="1" applyFill="1"/>
    <xf numFmtId="165" fontId="18" fillId="0" borderId="0" xfId="0" applyNumberFormat="1" applyFont="1" applyFill="1"/>
    <xf numFmtId="0" fontId="13" fillId="0" borderId="10" xfId="0" applyFont="1" applyFill="1" applyBorder="1"/>
    <xf numFmtId="0" fontId="0" fillId="0" borderId="0" xfId="0" applyFill="1" applyAlignment="1"/>
    <xf numFmtId="0" fontId="12" fillId="0" borderId="0" xfId="0" applyFont="1" applyFill="1" applyAlignment="1" applyProtection="1">
      <alignment vertical="center"/>
      <protection locked="0"/>
    </xf>
    <xf numFmtId="0" fontId="12" fillId="0" borderId="11" xfId="0" applyFont="1" applyFill="1" applyBorder="1" applyAlignment="1">
      <alignment horizontal="centerContinuous"/>
    </xf>
    <xf numFmtId="0" fontId="0" fillId="0" borderId="0" xfId="0" applyFill="1" applyBorder="1" applyAlignment="1">
      <alignment vertical="center"/>
    </xf>
    <xf numFmtId="0" fontId="0" fillId="0" borderId="21" xfId="0" applyFill="1" applyBorder="1" applyAlignment="1">
      <alignment vertical="center"/>
    </xf>
    <xf numFmtId="0" fontId="8" fillId="0" borderId="11" xfId="49" applyFont="1" applyFill="1" applyBorder="1" applyAlignment="1">
      <alignment horizontal="centerContinuous"/>
    </xf>
    <xf numFmtId="2" fontId="15" fillId="0" borderId="20" xfId="0" applyNumberFormat="1" applyFont="1" applyFill="1" applyBorder="1" applyAlignment="1">
      <alignment horizontal="center" vertical="top" wrapText="1"/>
    </xf>
    <xf numFmtId="0" fontId="14" fillId="0" borderId="0" xfId="0" applyFont="1" applyFill="1" applyBorder="1" applyAlignment="1"/>
    <xf numFmtId="0" fontId="0" fillId="0" borderId="15" xfId="0" applyFill="1" applyBorder="1"/>
    <xf numFmtId="0" fontId="9" fillId="0" borderId="25" xfId="0" applyFont="1" applyFill="1" applyBorder="1" applyAlignment="1">
      <alignment horizontal="left" vertical="center"/>
    </xf>
    <xf numFmtId="0" fontId="13" fillId="0" borderId="0" xfId="0" applyFont="1" applyFill="1" applyBorder="1" applyAlignment="1">
      <alignment horizontal="centerContinuous" vertical="center"/>
    </xf>
    <xf numFmtId="2" fontId="15" fillId="0" borderId="0" xfId="0" applyNumberFormat="1" applyFont="1" applyFill="1" applyBorder="1" applyAlignment="1">
      <alignment horizontal="center" vertical="top" wrapText="1"/>
    </xf>
    <xf numFmtId="165" fontId="13" fillId="0" borderId="0" xfId="0" applyNumberFormat="1" applyFont="1" applyFill="1" applyBorder="1" applyAlignment="1">
      <alignment horizontal="right" vertical="top"/>
    </xf>
    <xf numFmtId="168" fontId="13" fillId="0" borderId="0" xfId="45" applyNumberFormat="1" applyFont="1" applyFill="1" applyBorder="1" applyAlignment="1">
      <alignment horizontal="right" vertical="top"/>
    </xf>
    <xf numFmtId="3" fontId="41" fillId="0" borderId="0" xfId="42" applyNumberFormat="1" applyFont="1" applyFill="1"/>
    <xf numFmtId="164" fontId="43" fillId="25" borderId="43" xfId="0" applyNumberFormat="1" applyFont="1" applyFill="1" applyBorder="1"/>
    <xf numFmtId="165" fontId="42" fillId="25" borderId="41" xfId="0" applyNumberFormat="1" applyFont="1" applyFill="1" applyBorder="1"/>
    <xf numFmtId="165" fontId="13" fillId="0" borderId="34" xfId="0" applyNumberFormat="1" applyFont="1" applyFill="1" applyBorder="1" applyAlignment="1">
      <alignment horizontal="right" vertical="top"/>
    </xf>
    <xf numFmtId="165" fontId="13" fillId="0" borderId="35" xfId="0" applyNumberFormat="1" applyFont="1" applyFill="1" applyBorder="1" applyAlignment="1">
      <alignment horizontal="right" vertical="top"/>
    </xf>
    <xf numFmtId="165" fontId="13" fillId="0" borderId="37" xfId="0" applyNumberFormat="1" applyFont="1" applyFill="1" applyBorder="1" applyAlignment="1">
      <alignment horizontal="right" vertical="top"/>
    </xf>
    <xf numFmtId="165" fontId="13" fillId="0" borderId="31" xfId="0" applyNumberFormat="1" applyFont="1" applyFill="1" applyBorder="1" applyAlignment="1">
      <alignment horizontal="right" vertical="top"/>
    </xf>
    <xf numFmtId="0" fontId="14" fillId="0" borderId="12" xfId="0" applyFont="1" applyFill="1" applyBorder="1" applyAlignment="1">
      <alignment horizontal="center"/>
    </xf>
    <xf numFmtId="0" fontId="14" fillId="0" borderId="0" xfId="0" applyFont="1" applyFill="1" applyBorder="1" applyAlignment="1">
      <alignment horizontal="left" vertical="center"/>
    </xf>
    <xf numFmtId="164" fontId="43" fillId="25" borderId="40" xfId="45" applyNumberFormat="1" applyFont="1" applyFill="1" applyBorder="1" applyAlignment="1">
      <alignment horizontal="right" vertical="top"/>
    </xf>
    <xf numFmtId="164" fontId="43" fillId="25" borderId="42" xfId="45" applyNumberFormat="1" applyFont="1" applyFill="1" applyBorder="1" applyAlignment="1">
      <alignment horizontal="right" vertical="top"/>
    </xf>
    <xf numFmtId="0" fontId="43" fillId="26" borderId="40" xfId="0" applyFont="1" applyFill="1" applyBorder="1" applyAlignment="1">
      <alignment vertical="center"/>
    </xf>
    <xf numFmtId="0" fontId="43" fillId="26" borderId="41" xfId="0" applyFont="1" applyFill="1" applyBorder="1" applyAlignment="1">
      <alignment vertical="center"/>
    </xf>
    <xf numFmtId="3" fontId="43" fillId="26" borderId="41" xfId="39" applyNumberFormat="1" applyFont="1" applyFill="1" applyBorder="1" applyAlignment="1">
      <alignment vertical="center"/>
    </xf>
    <xf numFmtId="3" fontId="43" fillId="26" borderId="42" xfId="39" applyNumberFormat="1" applyFont="1" applyFill="1" applyBorder="1" applyAlignment="1">
      <alignment vertical="center"/>
    </xf>
    <xf numFmtId="0" fontId="18" fillId="25" borderId="40" xfId="0" applyFont="1" applyFill="1" applyBorder="1" applyAlignment="1">
      <alignment vertical="center"/>
    </xf>
    <xf numFmtId="165" fontId="18" fillId="25" borderId="41" xfId="0" applyNumberFormat="1" applyFont="1" applyFill="1" applyBorder="1" applyAlignment="1">
      <alignment horizontal="right" vertical="top"/>
    </xf>
    <xf numFmtId="165" fontId="18" fillId="25" borderId="42" xfId="0" applyNumberFormat="1" applyFont="1" applyFill="1" applyBorder="1" applyAlignment="1">
      <alignment horizontal="right" vertical="top"/>
    </xf>
    <xf numFmtId="0" fontId="9" fillId="0" borderId="0" xfId="0" applyFont="1" applyFill="1" applyBorder="1" applyAlignment="1">
      <alignment horizontal="left"/>
    </xf>
    <xf numFmtId="165" fontId="13" fillId="0" borderId="21" xfId="0" applyNumberFormat="1" applyFont="1" applyFill="1" applyBorder="1" applyAlignment="1">
      <alignment horizontal="right" vertical="top"/>
    </xf>
    <xf numFmtId="0" fontId="13" fillId="0" borderId="0" xfId="0" applyFont="1" applyFill="1" applyBorder="1"/>
    <xf numFmtId="0" fontId="14" fillId="0" borderId="0" xfId="0" applyFont="1" applyFill="1" applyBorder="1" applyAlignment="1">
      <alignment horizontal="left"/>
    </xf>
    <xf numFmtId="0" fontId="44" fillId="0" borderId="0" xfId="0" applyFont="1"/>
    <xf numFmtId="164" fontId="43" fillId="25" borderId="43" xfId="45" applyNumberFormat="1" applyFont="1" applyFill="1" applyBorder="1" applyAlignment="1">
      <alignment vertical="center"/>
    </xf>
    <xf numFmtId="0" fontId="42" fillId="25" borderId="40" xfId="0" applyFont="1" applyFill="1" applyBorder="1"/>
    <xf numFmtId="165" fontId="42" fillId="25" borderId="42" xfId="0" applyNumberFormat="1" applyFont="1" applyFill="1" applyBorder="1"/>
    <xf numFmtId="0" fontId="8" fillId="0" borderId="12" xfId="38" applyFill="1" applyBorder="1"/>
    <xf numFmtId="0" fontId="14" fillId="0" borderId="0" xfId="38" applyFont="1" applyFill="1" applyBorder="1"/>
    <xf numFmtId="0" fontId="13" fillId="0" borderId="0" xfId="38" applyFont="1" applyFill="1" applyBorder="1"/>
    <xf numFmtId="165" fontId="14" fillId="0" borderId="0" xfId="38" applyNumberFormat="1" applyFont="1" applyFill="1" applyBorder="1" applyAlignment="1">
      <alignment horizontal="right" vertical="top"/>
    </xf>
    <xf numFmtId="165" fontId="14" fillId="0" borderId="21" xfId="38" applyNumberFormat="1" applyFont="1" applyFill="1" applyBorder="1" applyAlignment="1">
      <alignment horizontal="right" vertical="top"/>
    </xf>
    <xf numFmtId="164" fontId="14" fillId="0" borderId="21" xfId="45" applyNumberFormat="1" applyFont="1" applyFill="1" applyBorder="1" applyAlignment="1">
      <alignment horizontal="right" vertical="top"/>
    </xf>
    <xf numFmtId="164" fontId="13" fillId="0" borderId="15" xfId="45" applyNumberFormat="1" applyFont="1" applyFill="1" applyBorder="1" applyAlignment="1">
      <alignment horizontal="right" vertical="top"/>
    </xf>
    <xf numFmtId="164" fontId="13" fillId="0" borderId="22" xfId="45" applyNumberFormat="1" applyFont="1" applyFill="1" applyBorder="1" applyAlignment="1">
      <alignment horizontal="right" vertical="top"/>
    </xf>
    <xf numFmtId="0" fontId="14" fillId="0" borderId="0" xfId="0" applyFont="1" applyFill="1" applyBorder="1" applyAlignment="1">
      <alignment horizontal="left" vertical="top"/>
    </xf>
    <xf numFmtId="0" fontId="14" fillId="0" borderId="0" xfId="0" applyFont="1" applyFill="1" applyBorder="1" applyAlignment="1">
      <alignment vertical="top"/>
    </xf>
    <xf numFmtId="165" fontId="42" fillId="25" borderId="41" xfId="0" applyNumberFormat="1" applyFont="1" applyFill="1" applyBorder="1" applyAlignment="1">
      <alignment vertical="center"/>
    </xf>
    <xf numFmtId="165" fontId="42" fillId="25" borderId="42" xfId="0" applyNumberFormat="1" applyFont="1" applyFill="1" applyBorder="1" applyAlignment="1">
      <alignment vertical="center"/>
    </xf>
    <xf numFmtId="0" fontId="43" fillId="25" borderId="29" xfId="0" applyFont="1" applyFill="1" applyBorder="1"/>
    <xf numFmtId="165" fontId="43" fillId="25" borderId="30" xfId="0" applyNumberFormat="1" applyFont="1" applyFill="1" applyBorder="1"/>
    <xf numFmtId="165" fontId="43" fillId="25" borderId="30" xfId="0" applyNumberFormat="1" applyFont="1" applyFill="1" applyBorder="1" applyAlignment="1" applyProtection="1">
      <alignment horizontal="right" vertical="center"/>
      <protection locked="0"/>
    </xf>
    <xf numFmtId="165" fontId="43" fillId="25" borderId="38" xfId="0" applyNumberFormat="1" applyFont="1" applyFill="1" applyBorder="1" applyAlignment="1" applyProtection="1">
      <alignment horizontal="right" vertical="center"/>
      <protection locked="0"/>
    </xf>
    <xf numFmtId="0" fontId="43" fillId="25" borderId="28" xfId="0" applyFont="1" applyFill="1" applyBorder="1"/>
    <xf numFmtId="164" fontId="43" fillId="25" borderId="11" xfId="45" applyNumberFormat="1" applyFont="1" applyFill="1" applyBorder="1" applyAlignment="1">
      <alignment horizontal="right" vertical="top"/>
    </xf>
    <xf numFmtId="164" fontId="43" fillId="25" borderId="39" xfId="45" applyNumberFormat="1" applyFont="1" applyFill="1" applyBorder="1" applyAlignment="1">
      <alignment horizontal="right" vertical="top"/>
    </xf>
    <xf numFmtId="164" fontId="43" fillId="25" borderId="38" xfId="45" applyNumberFormat="1" applyFont="1" applyFill="1" applyBorder="1" applyAlignment="1">
      <alignment horizontal="right" vertical="top"/>
    </xf>
    <xf numFmtId="0" fontId="43" fillId="25" borderId="12" xfId="0" applyFont="1" applyFill="1" applyBorder="1"/>
    <xf numFmtId="164" fontId="43" fillId="25" borderId="21" xfId="45" applyNumberFormat="1" applyFont="1" applyFill="1" applyBorder="1" applyAlignment="1">
      <alignment horizontal="right" vertical="top"/>
    </xf>
    <xf numFmtId="0" fontId="43" fillId="25" borderId="12" xfId="0" applyFont="1" applyFill="1" applyBorder="1" applyAlignment="1">
      <alignment vertical="center"/>
    </xf>
    <xf numFmtId="0" fontId="43" fillId="25" borderId="40" xfId="0" applyFont="1" applyFill="1" applyBorder="1"/>
    <xf numFmtId="0" fontId="23" fillId="0" borderId="0" xfId="0" applyFont="1" applyFill="1"/>
    <xf numFmtId="0" fontId="22" fillId="0" borderId="12" xfId="0" applyFont="1" applyFill="1" applyBorder="1" applyAlignment="1">
      <alignment vertical="center"/>
    </xf>
    <xf numFmtId="0" fontId="9" fillId="0" borderId="12" xfId="0" applyFont="1" applyFill="1" applyBorder="1" applyAlignment="1">
      <alignment vertical="center"/>
    </xf>
    <xf numFmtId="0" fontId="11" fillId="0" borderId="21" xfId="34" applyFill="1" applyBorder="1" applyAlignment="1" applyProtection="1">
      <alignment horizontal="left" indent="2"/>
    </xf>
    <xf numFmtId="0" fontId="12" fillId="0" borderId="0" xfId="0" applyFont="1" applyFill="1"/>
    <xf numFmtId="164" fontId="43" fillId="25" borderId="43" xfId="45" applyNumberFormat="1" applyFont="1" applyFill="1" applyBorder="1" applyAlignment="1">
      <alignment horizontal="right" vertical="top"/>
    </xf>
    <xf numFmtId="165" fontId="43" fillId="25" borderId="43" xfId="0" applyNumberFormat="1" applyFont="1" applyFill="1" applyBorder="1"/>
    <xf numFmtId="169" fontId="10" fillId="0" borderId="0" xfId="50" applyNumberFormat="1" applyFont="1" applyFill="1" applyBorder="1" applyAlignment="1">
      <alignment horizontal="right" vertical="top"/>
    </xf>
    <xf numFmtId="169" fontId="10" fillId="0" borderId="11" xfId="50" applyNumberFormat="1" applyFont="1" applyFill="1" applyBorder="1" applyAlignment="1">
      <alignment horizontal="right" vertical="top"/>
    </xf>
    <xf numFmtId="2" fontId="15" fillId="0" borderId="23" xfId="0" applyNumberFormat="1" applyFont="1" applyFill="1" applyBorder="1" applyAlignment="1">
      <alignment horizontal="left" vertical="top"/>
    </xf>
    <xf numFmtId="0" fontId="0" fillId="0" borderId="30" xfId="0" applyBorder="1"/>
    <xf numFmtId="0" fontId="0" fillId="0" borderId="38" xfId="0" applyBorder="1"/>
    <xf numFmtId="0" fontId="13" fillId="0" borderId="23" xfId="0" applyFont="1" applyFill="1" applyBorder="1" applyAlignment="1">
      <alignment horizontal="left" vertical="center"/>
    </xf>
    <xf numFmtId="0" fontId="14" fillId="0" borderId="12" xfId="0" applyFont="1" applyFill="1" applyBorder="1" applyAlignment="1">
      <alignment vertical="center"/>
    </xf>
    <xf numFmtId="0" fontId="14" fillId="0" borderId="28" xfId="0" applyFont="1" applyFill="1" applyBorder="1" applyAlignment="1">
      <alignment vertical="center"/>
    </xf>
    <xf numFmtId="165" fontId="0" fillId="0" borderId="0" xfId="0" applyNumberFormat="1" applyFill="1"/>
    <xf numFmtId="0" fontId="0" fillId="0" borderId="0" xfId="0" applyFill="1" applyBorder="1"/>
    <xf numFmtId="0" fontId="13" fillId="0" borderId="0" xfId="0" applyFont="1" applyFill="1" applyBorder="1" applyAlignment="1">
      <alignment horizontal="left" vertical="center"/>
    </xf>
    <xf numFmtId="0" fontId="0" fillId="0" borderId="29" xfId="0" applyBorder="1"/>
    <xf numFmtId="1" fontId="15" fillId="0" borderId="44" xfId="0" applyNumberFormat="1" applyFont="1" applyFill="1" applyBorder="1" applyAlignment="1">
      <alignment horizontal="center" vertical="top" wrapText="1"/>
    </xf>
    <xf numFmtId="2" fontId="15" fillId="0" borderId="45" xfId="0" applyNumberFormat="1" applyFont="1" applyFill="1" applyBorder="1" applyAlignment="1">
      <alignment horizontal="center" vertical="top" wrapText="1"/>
    </xf>
    <xf numFmtId="0" fontId="6" fillId="0" borderId="0" xfId="53"/>
    <xf numFmtId="0" fontId="9" fillId="28" borderId="40" xfId="0" applyFont="1" applyFill="1" applyBorder="1"/>
    <xf numFmtId="0" fontId="9" fillId="28" borderId="42" xfId="0" applyFont="1" applyFill="1" applyBorder="1"/>
    <xf numFmtId="0" fontId="13" fillId="0" borderId="12" xfId="0" applyFont="1" applyFill="1" applyBorder="1"/>
    <xf numFmtId="0" fontId="14" fillId="0" borderId="12" xfId="0" applyFont="1" applyFill="1" applyBorder="1" applyAlignment="1">
      <alignment horizontal="left" vertical="center"/>
    </xf>
    <xf numFmtId="0" fontId="10" fillId="0" borderId="0" xfId="0" applyFont="1" applyFill="1" applyBorder="1"/>
    <xf numFmtId="164" fontId="10" fillId="0" borderId="0" xfId="45" applyNumberFormat="1" applyFont="1" applyFill="1" applyBorder="1" applyAlignment="1">
      <alignment horizontal="center" vertical="top"/>
    </xf>
    <xf numFmtId="164" fontId="10" fillId="0" borderId="21" xfId="45" applyNumberFormat="1" applyFont="1" applyFill="1" applyBorder="1" applyAlignment="1">
      <alignment horizontal="center" vertical="top"/>
    </xf>
    <xf numFmtId="164" fontId="10" fillId="0" borderId="39" xfId="45" applyNumberFormat="1" applyFont="1" applyFill="1" applyBorder="1" applyAlignment="1">
      <alignment horizontal="center" vertical="top"/>
    </xf>
    <xf numFmtId="164" fontId="43" fillId="25" borderId="48" xfId="45" applyNumberFormat="1" applyFont="1" applyFill="1" applyBorder="1"/>
    <xf numFmtId="0" fontId="46" fillId="25" borderId="29" xfId="0" applyFont="1" applyFill="1" applyBorder="1"/>
    <xf numFmtId="165" fontId="46" fillId="25" borderId="30" xfId="0" applyNumberFormat="1" applyFont="1" applyFill="1" applyBorder="1" applyAlignment="1" applyProtection="1">
      <alignment horizontal="right" vertical="center"/>
      <protection locked="0"/>
    </xf>
    <xf numFmtId="165" fontId="46" fillId="25" borderId="38" xfId="0" applyNumberFormat="1" applyFont="1" applyFill="1" applyBorder="1" applyAlignment="1" applyProtection="1">
      <alignment horizontal="right" vertical="center"/>
      <protection locked="0"/>
    </xf>
    <xf numFmtId="165" fontId="43" fillId="25" borderId="0" xfId="0" applyNumberFormat="1" applyFont="1" applyFill="1" applyBorder="1" applyAlignment="1" applyProtection="1">
      <alignment horizontal="right" vertical="center"/>
      <protection locked="0"/>
    </xf>
    <xf numFmtId="165" fontId="43" fillId="25" borderId="21" xfId="0" applyNumberFormat="1" applyFont="1" applyFill="1" applyBorder="1" applyAlignment="1" applyProtection="1">
      <alignment horizontal="right" vertical="center"/>
      <protection locked="0"/>
    </xf>
    <xf numFmtId="165" fontId="43" fillId="25" borderId="11" xfId="0" applyNumberFormat="1" applyFont="1" applyFill="1" applyBorder="1" applyAlignment="1" applyProtection="1">
      <alignment horizontal="right" vertical="center"/>
      <protection locked="0"/>
    </xf>
    <xf numFmtId="165" fontId="43" fillId="25" borderId="39" xfId="0" applyNumberFormat="1" applyFont="1" applyFill="1" applyBorder="1" applyAlignment="1" applyProtection="1">
      <alignment horizontal="right" vertical="center"/>
      <protection locked="0"/>
    </xf>
    <xf numFmtId="0" fontId="43" fillId="25" borderId="29" xfId="0" applyFont="1" applyFill="1" applyBorder="1" applyAlignment="1">
      <alignment horizontal="left" indent="1"/>
    </xf>
    <xf numFmtId="0" fontId="43" fillId="25" borderId="12" xfId="0" applyFont="1" applyFill="1" applyBorder="1" applyAlignment="1">
      <alignment horizontal="left" indent="1"/>
    </xf>
    <xf numFmtId="0" fontId="43" fillId="25" borderId="28" xfId="0" applyFont="1" applyFill="1" applyBorder="1" applyAlignment="1">
      <alignment horizontal="left" indent="1"/>
    </xf>
    <xf numFmtId="11" fontId="0" fillId="0" borderId="0" xfId="0" applyNumberFormat="1"/>
    <xf numFmtId="11" fontId="14" fillId="0" borderId="0" xfId="0" applyNumberFormat="1" applyFont="1"/>
    <xf numFmtId="165" fontId="18" fillId="25" borderId="0" xfId="0" applyNumberFormat="1" applyFont="1" applyFill="1" applyBorder="1" applyAlignment="1">
      <alignment horizontal="right" vertical="top"/>
    </xf>
    <xf numFmtId="165" fontId="18" fillId="25" borderId="21" xfId="0" applyNumberFormat="1" applyFont="1" applyFill="1" applyBorder="1" applyAlignment="1">
      <alignment horizontal="right" vertical="top"/>
    </xf>
    <xf numFmtId="165" fontId="18" fillId="25" borderId="11" xfId="0" applyNumberFormat="1" applyFont="1" applyFill="1" applyBorder="1" applyAlignment="1">
      <alignment horizontal="right" vertical="top"/>
    </xf>
    <xf numFmtId="165" fontId="18" fillId="25" borderId="39" xfId="0" applyNumberFormat="1" applyFont="1" applyFill="1" applyBorder="1" applyAlignment="1">
      <alignment horizontal="right" vertical="top"/>
    </xf>
    <xf numFmtId="0" fontId="18" fillId="25" borderId="12" xfId="0" applyFont="1" applyFill="1" applyBorder="1" applyAlignment="1">
      <alignment horizontal="left" vertical="center" indent="1"/>
    </xf>
    <xf numFmtId="0" fontId="18" fillId="25" borderId="28" xfId="0" applyFont="1" applyFill="1" applyBorder="1" applyAlignment="1">
      <alignment horizontal="left" vertical="center" indent="1"/>
    </xf>
    <xf numFmtId="0" fontId="47" fillId="25" borderId="40" xfId="0" applyFont="1" applyFill="1" applyBorder="1" applyAlignment="1">
      <alignment vertical="center"/>
    </xf>
    <xf numFmtId="165" fontId="47" fillId="25" borderId="41" xfId="0" applyNumberFormat="1" applyFont="1" applyFill="1" applyBorder="1" applyAlignment="1">
      <alignment horizontal="right" vertical="top"/>
    </xf>
    <xf numFmtId="165" fontId="47" fillId="25" borderId="42" xfId="0" applyNumberFormat="1" applyFont="1" applyFill="1" applyBorder="1" applyAlignment="1">
      <alignment horizontal="right" vertical="top"/>
    </xf>
    <xf numFmtId="164" fontId="43" fillId="25" borderId="12" xfId="45" applyNumberFormat="1" applyFont="1" applyFill="1" applyBorder="1" applyAlignment="1">
      <alignment horizontal="left" vertical="center" indent="1"/>
    </xf>
    <xf numFmtId="164" fontId="43" fillId="25" borderId="28" xfId="45" applyNumberFormat="1" applyFont="1" applyFill="1" applyBorder="1" applyAlignment="1">
      <alignment horizontal="left" vertical="center" indent="1"/>
    </xf>
    <xf numFmtId="170" fontId="43" fillId="25" borderId="0" xfId="51" applyNumberFormat="1" applyFont="1" applyFill="1" applyBorder="1" applyAlignment="1">
      <alignment vertical="center"/>
    </xf>
    <xf numFmtId="170" fontId="43" fillId="25" borderId="21" xfId="51" applyNumberFormat="1" applyFont="1" applyFill="1" applyBorder="1" applyAlignment="1">
      <alignment vertical="center"/>
    </xf>
    <xf numFmtId="170" fontId="43" fillId="25" borderId="11" xfId="51" applyNumberFormat="1" applyFont="1" applyFill="1" applyBorder="1" applyAlignment="1">
      <alignment vertical="center"/>
    </xf>
    <xf numFmtId="170" fontId="43" fillId="25" borderId="39" xfId="51" applyNumberFormat="1" applyFont="1" applyFill="1" applyBorder="1" applyAlignment="1">
      <alignment vertical="center"/>
    </xf>
    <xf numFmtId="170" fontId="0" fillId="0" borderId="0" xfId="51" applyNumberFormat="1" applyFont="1"/>
    <xf numFmtId="170" fontId="0" fillId="0" borderId="0" xfId="51" applyNumberFormat="1" applyFont="1" applyFill="1"/>
    <xf numFmtId="164" fontId="46" fillId="25" borderId="40" xfId="45" applyNumberFormat="1" applyFont="1" applyFill="1" applyBorder="1" applyAlignment="1">
      <alignment vertical="center"/>
    </xf>
    <xf numFmtId="170" fontId="46" fillId="25" borderId="41" xfId="51" applyNumberFormat="1" applyFont="1" applyFill="1" applyBorder="1" applyAlignment="1">
      <alignment vertical="center"/>
    </xf>
    <xf numFmtId="170" fontId="46" fillId="25" borderId="42" xfId="51" applyNumberFormat="1" applyFont="1" applyFill="1" applyBorder="1" applyAlignment="1">
      <alignment vertical="center"/>
    </xf>
    <xf numFmtId="164" fontId="43" fillId="25" borderId="29" xfId="45" applyNumberFormat="1" applyFont="1" applyFill="1" applyBorder="1" applyAlignment="1">
      <alignment horizontal="left" vertical="center" indent="1"/>
    </xf>
    <xf numFmtId="170" fontId="43" fillId="25" borderId="30" xfId="51" applyNumberFormat="1" applyFont="1" applyFill="1" applyBorder="1" applyAlignment="1">
      <alignment vertical="center"/>
    </xf>
    <xf numFmtId="170" fontId="43" fillId="25" borderId="38" xfId="51" applyNumberFormat="1" applyFont="1" applyFill="1" applyBorder="1" applyAlignment="1">
      <alignment vertical="center"/>
    </xf>
    <xf numFmtId="165" fontId="42" fillId="25" borderId="0" xfId="0" applyNumberFormat="1" applyFont="1" applyFill="1" applyBorder="1"/>
    <xf numFmtId="165" fontId="42" fillId="25" borderId="21" xfId="0" applyNumberFormat="1" applyFont="1" applyFill="1" applyBorder="1"/>
    <xf numFmtId="165" fontId="42" fillId="25" borderId="11" xfId="0" applyNumberFormat="1" applyFont="1" applyFill="1" applyBorder="1"/>
    <xf numFmtId="165" fontId="42" fillId="25" borderId="39" xfId="0" applyNumberFormat="1" applyFont="1" applyFill="1" applyBorder="1"/>
    <xf numFmtId="165" fontId="42" fillId="25" borderId="40" xfId="0" applyNumberFormat="1" applyFont="1" applyFill="1" applyBorder="1"/>
    <xf numFmtId="165" fontId="42" fillId="25" borderId="12" xfId="0" applyNumberFormat="1" applyFont="1" applyFill="1" applyBorder="1" applyAlignment="1">
      <alignment horizontal="left" indent="1"/>
    </xf>
    <xf numFmtId="165" fontId="42" fillId="25" borderId="28" xfId="0" applyNumberFormat="1" applyFont="1" applyFill="1" applyBorder="1" applyAlignment="1">
      <alignment horizontal="left" indent="1"/>
    </xf>
    <xf numFmtId="165" fontId="43" fillId="25" borderId="0" xfId="0" applyNumberFormat="1" applyFont="1" applyFill="1" applyBorder="1"/>
    <xf numFmtId="165" fontId="43" fillId="25" borderId="11" xfId="0" applyNumberFormat="1" applyFont="1" applyFill="1" applyBorder="1"/>
    <xf numFmtId="165" fontId="14" fillId="0" borderId="46" xfId="0" applyNumberFormat="1" applyFont="1" applyFill="1" applyBorder="1" applyAlignment="1">
      <alignment horizontal="right" vertical="top"/>
    </xf>
    <xf numFmtId="0" fontId="22" fillId="0" borderId="28" xfId="0" applyFont="1" applyFill="1" applyBorder="1" applyAlignment="1">
      <alignment vertical="center"/>
    </xf>
    <xf numFmtId="0" fontId="53" fillId="0" borderId="0" xfId="53" applyFont="1"/>
    <xf numFmtId="0" fontId="0" fillId="0" borderId="46" xfId="0" applyBorder="1"/>
    <xf numFmtId="0" fontId="0" fillId="0" borderId="43" xfId="0" applyBorder="1"/>
    <xf numFmtId="0" fontId="12" fillId="0" borderId="0" xfId="0" applyFont="1" applyFill="1" applyBorder="1" applyAlignment="1">
      <alignment horizontal="centerContinuous"/>
    </xf>
    <xf numFmtId="0" fontId="10" fillId="0" borderId="0" xfId="0" applyFont="1" applyFill="1" applyBorder="1" applyAlignment="1">
      <alignment vertical="center"/>
    </xf>
    <xf numFmtId="0" fontId="8" fillId="0" borderId="0" xfId="38" applyFont="1" applyAlignment="1" applyProtection="1">
      <alignment vertical="center"/>
      <protection locked="0"/>
    </xf>
    <xf numFmtId="0" fontId="10" fillId="0" borderId="0" xfId="38" applyFont="1" applyAlignment="1" applyProtection="1">
      <alignment vertical="center"/>
      <protection locked="0"/>
    </xf>
    <xf numFmtId="0" fontId="8" fillId="0" borderId="0" xfId="38"/>
    <xf numFmtId="2" fontId="15" fillId="0" borderId="21" xfId="38" applyNumberFormat="1" applyFont="1" applyFill="1" applyBorder="1" applyAlignment="1">
      <alignment horizontal="center" vertical="top" wrapText="1"/>
    </xf>
    <xf numFmtId="0" fontId="10" fillId="0" borderId="0" xfId="38" applyFont="1"/>
    <xf numFmtId="0" fontId="43" fillId="25" borderId="47" xfId="0" applyFont="1" applyFill="1" applyBorder="1"/>
    <xf numFmtId="165" fontId="43" fillId="25" borderId="29" xfId="0" applyNumberFormat="1" applyFont="1" applyFill="1" applyBorder="1" applyAlignment="1" applyProtection="1">
      <alignment horizontal="right" vertical="center"/>
      <protection locked="0"/>
    </xf>
    <xf numFmtId="0" fontId="43" fillId="25" borderId="48" xfId="0" applyFont="1" applyFill="1" applyBorder="1"/>
    <xf numFmtId="165" fontId="43" fillId="25" borderId="28" xfId="0" applyNumberFormat="1" applyFont="1" applyFill="1" applyBorder="1" applyAlignment="1" applyProtection="1">
      <alignment horizontal="right" vertical="center"/>
      <protection locked="0"/>
    </xf>
    <xf numFmtId="170" fontId="10" fillId="0" borderId="46" xfId="51" applyNumberFormat="1" applyFont="1" applyFill="1" applyBorder="1"/>
    <xf numFmtId="2" fontId="15" fillId="0" borderId="40" xfId="0" applyNumberFormat="1" applyFont="1" applyFill="1" applyBorder="1" applyAlignment="1">
      <alignment horizontal="left" vertical="top"/>
    </xf>
    <xf numFmtId="0" fontId="0" fillId="0" borderId="41" xfId="0" applyBorder="1"/>
    <xf numFmtId="0" fontId="0" fillId="0" borderId="42" xfId="0" applyBorder="1"/>
    <xf numFmtId="0" fontId="9" fillId="0" borderId="11" xfId="63" applyFont="1" applyFill="1" applyBorder="1" applyAlignment="1"/>
    <xf numFmtId="0" fontId="43" fillId="25" borderId="43" xfId="0" applyFont="1" applyFill="1" applyBorder="1"/>
    <xf numFmtId="165" fontId="13" fillId="0" borderId="46" xfId="0" applyNumberFormat="1" applyFont="1" applyFill="1" applyBorder="1" applyAlignment="1">
      <alignment horizontal="right" vertical="top"/>
    </xf>
    <xf numFmtId="168" fontId="14" fillId="0" borderId="46" xfId="45" applyNumberFormat="1" applyFont="1" applyFill="1" applyBorder="1" applyAlignment="1">
      <alignment horizontal="right" vertical="top"/>
    </xf>
    <xf numFmtId="0" fontId="13" fillId="0" borderId="43" xfId="0" applyFont="1" applyFill="1" applyBorder="1"/>
    <xf numFmtId="164" fontId="0" fillId="0" borderId="0" xfId="45" applyNumberFormat="1" applyFont="1" applyFill="1"/>
    <xf numFmtId="0" fontId="54" fillId="0" borderId="0" xfId="53" applyFont="1"/>
    <xf numFmtId="0" fontId="43" fillId="25" borderId="28" xfId="53" applyFont="1" applyFill="1" applyBorder="1"/>
    <xf numFmtId="0" fontId="43" fillId="25" borderId="39" xfId="53" applyFont="1" applyFill="1" applyBorder="1"/>
    <xf numFmtId="0" fontId="43" fillId="25" borderId="11" xfId="53" applyFont="1" applyFill="1" applyBorder="1"/>
    <xf numFmtId="0" fontId="46" fillId="25" borderId="0" xfId="53" applyFont="1" applyFill="1" applyBorder="1" applyAlignment="1">
      <alignment horizontal="center"/>
    </xf>
    <xf numFmtId="0" fontId="43" fillId="25" borderId="0" xfId="53" applyFont="1" applyFill="1" applyBorder="1" applyAlignment="1">
      <alignment horizontal="center"/>
    </xf>
    <xf numFmtId="175" fontId="43" fillId="25" borderId="0" xfId="59" applyNumberFormat="1" applyFont="1" applyFill="1" applyBorder="1"/>
    <xf numFmtId="170" fontId="43" fillId="25" borderId="0" xfId="59" applyNumberFormat="1" applyFont="1" applyFill="1" applyBorder="1"/>
    <xf numFmtId="0" fontId="43" fillId="25" borderId="0" xfId="53" applyFont="1" applyFill="1" applyBorder="1"/>
    <xf numFmtId="9" fontId="43" fillId="25" borderId="0" xfId="53" applyNumberFormat="1" applyFont="1" applyFill="1" applyBorder="1"/>
    <xf numFmtId="9" fontId="43" fillId="25" borderId="0" xfId="55" applyFont="1" applyFill="1" applyBorder="1"/>
    <xf numFmtId="175" fontId="43" fillId="25" borderId="0" xfId="59" applyNumberFormat="1" applyFont="1" applyFill="1" applyBorder="1" applyAlignment="1">
      <alignment horizontal="center"/>
    </xf>
    <xf numFmtId="9" fontId="43" fillId="25" borderId="0" xfId="55" applyNumberFormat="1" applyFont="1" applyFill="1" applyBorder="1"/>
    <xf numFmtId="175" fontId="43" fillId="25" borderId="0" xfId="59" applyNumberFormat="1" applyFont="1" applyFill="1" applyBorder="1" applyAlignment="1">
      <alignment horizontal="right"/>
    </xf>
    <xf numFmtId="175" fontId="43" fillId="25" borderId="12" xfId="59" applyNumberFormat="1" applyFont="1" applyFill="1" applyBorder="1" applyAlignment="1">
      <alignment horizontal="right"/>
    </xf>
    <xf numFmtId="1" fontId="43" fillId="25" borderId="12" xfId="59" applyNumberFormat="1" applyFont="1" applyFill="1" applyBorder="1"/>
    <xf numFmtId="175" fontId="43" fillId="25" borderId="21" xfId="53" applyNumberFormat="1" applyFont="1" applyFill="1" applyBorder="1"/>
    <xf numFmtId="175" fontId="57" fillId="25" borderId="12" xfId="59" applyNumberFormat="1" applyFont="1" applyFill="1" applyBorder="1" applyAlignment="1">
      <alignment horizontal="left"/>
    </xf>
    <xf numFmtId="0" fontId="42" fillId="25" borderId="0" xfId="53" applyFont="1" applyFill="1" applyBorder="1"/>
    <xf numFmtId="175" fontId="42" fillId="25" borderId="21" xfId="53" applyNumberFormat="1" applyFont="1" applyFill="1" applyBorder="1"/>
    <xf numFmtId="175" fontId="42" fillId="25" borderId="0" xfId="59" applyNumberFormat="1" applyFont="1" applyFill="1" applyBorder="1"/>
    <xf numFmtId="170" fontId="42" fillId="25" borderId="0" xfId="59" applyNumberFormat="1" applyFont="1" applyFill="1" applyBorder="1"/>
    <xf numFmtId="175" fontId="43" fillId="25" borderId="28" xfId="59" applyNumberFormat="1" applyFont="1" applyFill="1" applyBorder="1" applyAlignment="1">
      <alignment horizontal="right"/>
    </xf>
    <xf numFmtId="0" fontId="42" fillId="25" borderId="11" xfId="53" applyFont="1" applyFill="1" applyBorder="1"/>
    <xf numFmtId="175" fontId="43" fillId="25" borderId="11" xfId="59" applyNumberFormat="1" applyFont="1" applyFill="1" applyBorder="1"/>
    <xf numFmtId="170" fontId="43" fillId="25" borderId="11" xfId="59" applyNumberFormat="1" applyFont="1" applyFill="1" applyBorder="1"/>
    <xf numFmtId="175" fontId="42" fillId="25" borderId="39" xfId="53" applyNumberFormat="1" applyFont="1" applyFill="1" applyBorder="1"/>
    <xf numFmtId="0" fontId="46" fillId="25" borderId="28" xfId="53" applyFont="1" applyFill="1" applyBorder="1"/>
    <xf numFmtId="0" fontId="46" fillId="25" borderId="11" xfId="53" applyFont="1" applyFill="1" applyBorder="1"/>
    <xf numFmtId="0" fontId="46" fillId="25" borderId="11" xfId="53" applyFont="1" applyFill="1" applyBorder="1" applyAlignment="1">
      <alignment horizontal="center"/>
    </xf>
    <xf numFmtId="0" fontId="46" fillId="25" borderId="39" xfId="53" applyFont="1" applyFill="1" applyBorder="1" applyAlignment="1">
      <alignment horizontal="center"/>
    </xf>
    <xf numFmtId="164" fontId="10" fillId="0" borderId="0" xfId="45" applyNumberFormat="1" applyFont="1" applyBorder="1" applyAlignment="1">
      <alignment horizontal="center"/>
    </xf>
    <xf numFmtId="164" fontId="10" fillId="0" borderId="21" xfId="45" applyNumberFormat="1" applyFont="1" applyBorder="1" applyAlignment="1">
      <alignment horizontal="center"/>
    </xf>
    <xf numFmtId="164" fontId="10" fillId="0" borderId="11" xfId="45" applyNumberFormat="1" applyFont="1" applyBorder="1" applyAlignment="1">
      <alignment horizontal="center"/>
    </xf>
    <xf numFmtId="164" fontId="10" fillId="0" borderId="39" xfId="45" applyNumberFormat="1" applyFont="1" applyBorder="1" applyAlignment="1">
      <alignment horizontal="center"/>
    </xf>
    <xf numFmtId="166" fontId="10" fillId="0" borderId="0" xfId="51" applyNumberFormat="1" applyFont="1" applyBorder="1"/>
    <xf numFmtId="166" fontId="54" fillId="0" borderId="0" xfId="51" applyNumberFormat="1" applyFont="1" applyBorder="1"/>
    <xf numFmtId="166" fontId="10" fillId="0" borderId="0" xfId="51" quotePrefix="1" applyNumberFormat="1" applyFont="1" applyBorder="1"/>
    <xf numFmtId="166" fontId="10" fillId="0" borderId="11" xfId="51" applyNumberFormat="1" applyFont="1" applyBorder="1"/>
    <xf numFmtId="166" fontId="54" fillId="0" borderId="11" xfId="51" applyNumberFormat="1" applyFont="1" applyBorder="1"/>
    <xf numFmtId="0" fontId="54" fillId="0" borderId="0" xfId="53" applyFont="1" applyBorder="1"/>
    <xf numFmtId="0" fontId="58" fillId="0" borderId="0" xfId="34" applyFont="1" applyAlignment="1" applyProtection="1"/>
    <xf numFmtId="0" fontId="13" fillId="0" borderId="28" xfId="0" applyFont="1" applyFill="1" applyBorder="1"/>
    <xf numFmtId="0" fontId="0" fillId="0" borderId="11" xfId="0" applyFill="1" applyBorder="1"/>
    <xf numFmtId="168" fontId="13" fillId="0" borderId="48" xfId="45" applyNumberFormat="1" applyFont="1" applyFill="1" applyBorder="1" applyAlignment="1">
      <alignment horizontal="right" vertical="top"/>
    </xf>
    <xf numFmtId="170" fontId="13" fillId="0" borderId="48" xfId="51" applyNumberFormat="1" applyFont="1" applyBorder="1"/>
    <xf numFmtId="0" fontId="14" fillId="0" borderId="28" xfId="0" applyFont="1" applyFill="1" applyBorder="1" applyAlignment="1">
      <alignment horizontal="left" vertical="center"/>
    </xf>
    <xf numFmtId="0" fontId="14" fillId="0" borderId="11" xfId="0" applyFont="1" applyFill="1" applyBorder="1" applyAlignment="1">
      <alignment vertical="center"/>
    </xf>
    <xf numFmtId="168" fontId="14" fillId="0" borderId="48" xfId="45" applyNumberFormat="1" applyFont="1" applyFill="1" applyBorder="1" applyAlignment="1">
      <alignment horizontal="right" vertical="top"/>
    </xf>
    <xf numFmtId="170" fontId="10" fillId="0" borderId="48" xfId="51" applyNumberFormat="1" applyFont="1" applyFill="1" applyBorder="1"/>
    <xf numFmtId="0" fontId="44" fillId="0" borderId="0" xfId="49" applyFont="1"/>
    <xf numFmtId="168" fontId="59" fillId="0" borderId="0" xfId="0" applyNumberFormat="1" applyFont="1"/>
    <xf numFmtId="0" fontId="12" fillId="0" borderId="0" xfId="0" applyFont="1" applyBorder="1" applyAlignment="1" applyProtection="1">
      <alignment vertical="center"/>
      <protection locked="0"/>
    </xf>
    <xf numFmtId="0" fontId="13" fillId="0" borderId="0" xfId="0" quotePrefix="1" applyFont="1" applyFill="1" applyBorder="1" applyAlignment="1">
      <alignment horizontal="centerContinuous" vertical="center"/>
    </xf>
    <xf numFmtId="10" fontId="14" fillId="0" borderId="0" xfId="45" applyNumberFormat="1" applyFont="1"/>
    <xf numFmtId="164" fontId="60" fillId="0" borderId="0" xfId="45" applyNumberFormat="1" applyFont="1"/>
    <xf numFmtId="9" fontId="0" fillId="0" borderId="0" xfId="45" applyFont="1"/>
    <xf numFmtId="164" fontId="14" fillId="0" borderId="0" xfId="0" applyNumberFormat="1" applyFont="1"/>
    <xf numFmtId="0" fontId="10" fillId="0" borderId="12" xfId="0" applyFont="1" applyFill="1" applyBorder="1"/>
    <xf numFmtId="0" fontId="5" fillId="0" borderId="0" xfId="72"/>
    <xf numFmtId="0" fontId="5" fillId="0" borderId="0" xfId="72" applyBorder="1"/>
    <xf numFmtId="0" fontId="61" fillId="0" borderId="0" xfId="72" applyFont="1"/>
    <xf numFmtId="164" fontId="14" fillId="0" borderId="0" xfId="45" applyNumberFormat="1" applyFont="1"/>
    <xf numFmtId="0" fontId="13" fillId="0" borderId="0" xfId="0" quotePrefix="1" applyFont="1" applyFill="1" applyBorder="1" applyAlignment="1">
      <alignment vertical="center"/>
    </xf>
    <xf numFmtId="164" fontId="14" fillId="0" borderId="0" xfId="45" applyNumberFormat="1" applyFont="1" applyFill="1" applyBorder="1" applyAlignment="1" applyProtection="1">
      <alignment horizontal="right" vertical="center"/>
      <protection locked="0"/>
    </xf>
    <xf numFmtId="165" fontId="14" fillId="0" borderId="0" xfId="0" applyNumberFormat="1" applyFont="1" applyAlignment="1" applyProtection="1">
      <alignment vertical="center"/>
      <protection locked="0"/>
    </xf>
    <xf numFmtId="164" fontId="14" fillId="0" borderId="0" xfId="45" applyNumberFormat="1" applyFont="1" applyAlignment="1" applyProtection="1">
      <alignment vertical="center"/>
      <protection locked="0"/>
    </xf>
    <xf numFmtId="170" fontId="10" fillId="0" borderId="0" xfId="51" applyNumberFormat="1" applyFont="1"/>
    <xf numFmtId="170" fontId="10" fillId="0" borderId="0" xfId="51" applyNumberFormat="1" applyFont="1" applyFill="1"/>
    <xf numFmtId="164" fontId="14" fillId="0" borderId="0" xfId="45" applyNumberFormat="1" applyFont="1" applyFill="1"/>
    <xf numFmtId="0" fontId="54" fillId="0" borderId="0" xfId="72" applyFont="1" applyBorder="1"/>
    <xf numFmtId="0" fontId="54" fillId="0" borderId="0" xfId="72" applyFont="1" applyFill="1" applyBorder="1"/>
    <xf numFmtId="170" fontId="54" fillId="0" borderId="0" xfId="51" applyNumberFormat="1" applyFont="1" applyFill="1" applyBorder="1"/>
    <xf numFmtId="170" fontId="43" fillId="25" borderId="47" xfId="51" applyNumberFormat="1" applyFont="1" applyFill="1" applyBorder="1"/>
    <xf numFmtId="0" fontId="62" fillId="0" borderId="11" xfId="63" applyFont="1" applyFill="1" applyBorder="1" applyAlignment="1"/>
    <xf numFmtId="0" fontId="9" fillId="0" borderId="21" xfId="38" applyFont="1" applyFill="1" applyBorder="1" applyAlignment="1">
      <alignment horizontal="left" vertical="center"/>
    </xf>
    <xf numFmtId="0" fontId="8" fillId="0" borderId="21" xfId="38" applyFill="1" applyBorder="1"/>
    <xf numFmtId="0" fontId="10" fillId="0" borderId="21" xfId="38" applyFont="1" applyFill="1" applyBorder="1"/>
    <xf numFmtId="0" fontId="62" fillId="0" borderId="11" xfId="0" applyFont="1" applyFill="1" applyBorder="1" applyAlignment="1">
      <alignment horizontal="left"/>
    </xf>
    <xf numFmtId="0" fontId="14" fillId="0" borderId="21" xfId="0" applyFont="1" applyFill="1" applyBorder="1"/>
    <xf numFmtId="0" fontId="0" fillId="0" borderId="21" xfId="0" applyFill="1" applyBorder="1"/>
    <xf numFmtId="166" fontId="10" fillId="0" borderId="12" xfId="51" applyNumberFormat="1" applyFont="1" applyBorder="1"/>
    <xf numFmtId="166" fontId="10" fillId="0" borderId="28" xfId="51" applyNumberFormat="1" applyFont="1" applyBorder="1"/>
    <xf numFmtId="0" fontId="55" fillId="0" borderId="21" xfId="53" applyFont="1" applyBorder="1"/>
    <xf numFmtId="0" fontId="54" fillId="0" borderId="21" xfId="53" applyFont="1" applyBorder="1"/>
    <xf numFmtId="0" fontId="62" fillId="0" borderId="11" xfId="49" applyFont="1" applyFill="1" applyBorder="1" applyAlignment="1">
      <alignment horizontal="left"/>
    </xf>
    <xf numFmtId="0" fontId="10" fillId="0" borderId="21" xfId="49" applyFont="1" applyFill="1" applyBorder="1"/>
    <xf numFmtId="0" fontId="62" fillId="0" borderId="11" xfId="0" applyFont="1" applyFill="1" applyBorder="1" applyAlignment="1"/>
    <xf numFmtId="0" fontId="14" fillId="0" borderId="12" xfId="0" quotePrefix="1" applyFont="1" applyFill="1" applyBorder="1" applyAlignment="1">
      <alignment horizontal="left" vertical="center"/>
    </xf>
    <xf numFmtId="0" fontId="14" fillId="0" borderId="28" xfId="0" quotePrefix="1" applyFont="1" applyFill="1" applyBorder="1" applyAlignment="1">
      <alignment horizontal="left" vertical="center"/>
    </xf>
    <xf numFmtId="0" fontId="13" fillId="0" borderId="21" xfId="0" applyFont="1" applyFill="1" applyBorder="1"/>
    <xf numFmtId="0" fontId="62" fillId="0" borderId="0" xfId="0" applyFont="1" applyFill="1" applyBorder="1" applyAlignment="1"/>
    <xf numFmtId="0" fontId="9" fillId="0" borderId="21" xfId="0" applyFont="1" applyFill="1" applyBorder="1" applyAlignment="1">
      <alignment horizontal="left" vertical="center"/>
    </xf>
    <xf numFmtId="2" fontId="15" fillId="0" borderId="0" xfId="38" applyNumberFormat="1" applyFont="1" applyFill="1" applyBorder="1" applyAlignment="1">
      <alignment horizontal="center" vertical="top" wrapText="1"/>
    </xf>
    <xf numFmtId="167" fontId="14" fillId="0" borderId="39" xfId="45" applyNumberFormat="1" applyFont="1" applyFill="1" applyBorder="1" applyAlignment="1">
      <alignment vertical="center"/>
    </xf>
    <xf numFmtId="9" fontId="14" fillId="0" borderId="21" xfId="45" applyNumberFormat="1" applyFont="1" applyFill="1" applyBorder="1" applyAlignment="1">
      <alignment horizontal="center" vertical="center"/>
    </xf>
    <xf numFmtId="9" fontId="14" fillId="0" borderId="39" xfId="45" applyNumberFormat="1" applyFont="1" applyFill="1" applyBorder="1" applyAlignment="1">
      <alignment horizontal="center" vertical="center"/>
    </xf>
    <xf numFmtId="166" fontId="14" fillId="0" borderId="21" xfId="0" applyNumberFormat="1" applyFont="1" applyFill="1" applyBorder="1" applyAlignment="1">
      <alignment horizontal="center" vertical="center"/>
    </xf>
    <xf numFmtId="166" fontId="10" fillId="0" borderId="21" xfId="51" quotePrefix="1" applyNumberFormat="1" applyFont="1" applyBorder="1"/>
    <xf numFmtId="166" fontId="10" fillId="0" borderId="39" xfId="51" quotePrefix="1" applyNumberFormat="1" applyFont="1" applyBorder="1"/>
    <xf numFmtId="0" fontId="10" fillId="0" borderId="0" xfId="49" quotePrefix="1" applyFont="1" applyFill="1" applyBorder="1" applyAlignment="1">
      <alignment horizontal="left" vertical="center"/>
    </xf>
    <xf numFmtId="169" fontId="10" fillId="0" borderId="0" xfId="51" applyNumberFormat="1" applyFont="1" applyFill="1" applyBorder="1" applyAlignment="1">
      <alignment vertical="top"/>
    </xf>
    <xf numFmtId="169" fontId="10" fillId="0" borderId="11" xfId="51" applyNumberFormat="1" applyFont="1" applyFill="1" applyBorder="1" applyAlignment="1">
      <alignment vertical="top"/>
    </xf>
    <xf numFmtId="164" fontId="14" fillId="0" borderId="21" xfId="45" applyNumberFormat="1" applyFont="1" applyFill="1" applyBorder="1" applyAlignment="1">
      <alignment horizontal="center" vertical="top"/>
    </xf>
    <xf numFmtId="164" fontId="14" fillId="0" borderId="39" xfId="45" applyNumberFormat="1" applyFont="1" applyFill="1" applyBorder="1" applyAlignment="1">
      <alignment horizontal="center" vertical="top"/>
    </xf>
    <xf numFmtId="0" fontId="14" fillId="0" borderId="21" xfId="0" applyFont="1" applyFill="1" applyBorder="1" applyAlignment="1">
      <alignment vertical="center"/>
    </xf>
    <xf numFmtId="0" fontId="14" fillId="0" borderId="21" xfId="0" quotePrefix="1" applyFont="1" applyFill="1" applyBorder="1" applyAlignment="1">
      <alignment vertical="center"/>
    </xf>
    <xf numFmtId="0" fontId="14" fillId="0" borderId="28" xfId="0" applyFont="1" applyFill="1" applyBorder="1"/>
    <xf numFmtId="0" fontId="14" fillId="0" borderId="21" xfId="0" quotePrefix="1" applyFont="1" applyFill="1" applyBorder="1" applyAlignment="1">
      <alignment horizontal="left" vertical="center"/>
    </xf>
    <xf numFmtId="0" fontId="13" fillId="0" borderId="40" xfId="0" applyFont="1" applyFill="1" applyBorder="1" applyAlignment="1">
      <alignment horizontal="left" vertical="center"/>
    </xf>
    <xf numFmtId="2" fontId="15" fillId="0" borderId="11" xfId="0" applyNumberFormat="1" applyFont="1" applyFill="1" applyBorder="1" applyAlignment="1">
      <alignment horizontal="center" vertical="top" wrapText="1"/>
    </xf>
    <xf numFmtId="2" fontId="15" fillId="0" borderId="39" xfId="0" applyNumberFormat="1" applyFont="1" applyFill="1" applyBorder="1" applyAlignment="1">
      <alignment horizontal="center" vertical="top" wrapText="1"/>
    </xf>
    <xf numFmtId="165" fontId="13" fillId="0" borderId="11" xfId="0" applyNumberFormat="1" applyFont="1" applyFill="1" applyBorder="1" applyAlignment="1">
      <alignment horizontal="right" vertical="top"/>
    </xf>
    <xf numFmtId="165" fontId="13" fillId="0" borderId="39" xfId="0" applyNumberFormat="1" applyFont="1" applyFill="1" applyBorder="1" applyAlignment="1">
      <alignment horizontal="right" vertical="top"/>
    </xf>
    <xf numFmtId="0" fontId="10" fillId="0" borderId="28" xfId="0" applyFont="1" applyFill="1" applyBorder="1"/>
    <xf numFmtId="164" fontId="13" fillId="0" borderId="39" xfId="45" applyNumberFormat="1" applyFont="1" applyFill="1" applyBorder="1" applyAlignment="1">
      <alignment horizontal="right" vertical="top"/>
    </xf>
    <xf numFmtId="0" fontId="10" fillId="0" borderId="21" xfId="0" applyFont="1" applyFill="1" applyBorder="1" applyAlignment="1">
      <alignment vertical="center"/>
    </xf>
    <xf numFmtId="0" fontId="10" fillId="0" borderId="21" xfId="0" applyFont="1" applyFill="1" applyBorder="1"/>
    <xf numFmtId="0" fontId="10" fillId="0" borderId="39" xfId="0" applyFont="1" applyFill="1" applyBorder="1"/>
    <xf numFmtId="0" fontId="11" fillId="0" borderId="0" xfId="34" applyAlignment="1" applyProtection="1"/>
    <xf numFmtId="0" fontId="10" fillId="0" borderId="11" xfId="0" applyFont="1" applyFill="1" applyBorder="1"/>
    <xf numFmtId="165" fontId="13" fillId="0" borderId="40" xfId="0" applyNumberFormat="1" applyFont="1" applyFill="1" applyBorder="1" applyAlignment="1">
      <alignment horizontal="right" vertical="top"/>
    </xf>
    <xf numFmtId="0" fontId="63" fillId="0" borderId="11" xfId="0" applyFont="1" applyFill="1" applyBorder="1" applyAlignment="1">
      <alignment horizontal="centerContinuous"/>
    </xf>
    <xf numFmtId="165" fontId="63" fillId="0" borderId="0" xfId="0" applyNumberFormat="1" applyFont="1" applyFill="1" applyAlignment="1" applyProtection="1">
      <alignment horizontal="right" vertical="center"/>
      <protection locked="0"/>
    </xf>
    <xf numFmtId="165" fontId="63" fillId="0" borderId="0" xfId="0" applyNumberFormat="1" applyFont="1" applyFill="1" applyBorder="1" applyAlignment="1" applyProtection="1">
      <alignment horizontal="right" vertical="center"/>
      <protection locked="0"/>
    </xf>
    <xf numFmtId="165" fontId="63" fillId="0" borderId="0" xfId="0" applyNumberFormat="1" applyFont="1" applyFill="1" applyBorder="1" applyAlignment="1" applyProtection="1">
      <alignment horizontal="left"/>
      <protection locked="0"/>
    </xf>
    <xf numFmtId="0" fontId="63" fillId="0" borderId="0" xfId="0" applyFont="1" applyAlignment="1" applyProtection="1">
      <alignment vertical="center"/>
      <protection locked="0"/>
    </xf>
    <xf numFmtId="0" fontId="63" fillId="0" borderId="11" xfId="0" applyNumberFormat="1" applyFont="1" applyFill="1" applyBorder="1" applyAlignment="1">
      <alignment vertical="center"/>
    </xf>
    <xf numFmtId="43" fontId="62" fillId="0" borderId="11" xfId="51" applyFont="1" applyFill="1" applyBorder="1" applyAlignment="1">
      <alignment horizontal="left"/>
    </xf>
    <xf numFmtId="43" fontId="63" fillId="0" borderId="11" xfId="51" applyFont="1" applyFill="1" applyBorder="1" applyAlignment="1">
      <alignment horizontal="centerContinuous"/>
    </xf>
    <xf numFmtId="0" fontId="10" fillId="25" borderId="29" xfId="53" applyFont="1" applyFill="1" applyBorder="1"/>
    <xf numFmtId="0" fontId="10" fillId="25" borderId="30" xfId="53" quotePrefix="1" applyFont="1" applyFill="1" applyBorder="1"/>
    <xf numFmtId="174" fontId="10" fillId="25" borderId="38" xfId="51" applyNumberFormat="1" applyFont="1" applyFill="1" applyBorder="1"/>
    <xf numFmtId="0" fontId="10" fillId="0" borderId="0" xfId="53" applyFont="1"/>
    <xf numFmtId="164" fontId="10" fillId="25" borderId="43" xfId="53" applyNumberFormat="1" applyFont="1" applyFill="1" applyBorder="1"/>
    <xf numFmtId="0" fontId="10" fillId="25" borderId="28" xfId="53" applyFont="1" applyFill="1" applyBorder="1"/>
    <xf numFmtId="0" fontId="10" fillId="25" borderId="11" xfId="53" quotePrefix="1" applyFont="1" applyFill="1" applyBorder="1"/>
    <xf numFmtId="174" fontId="10" fillId="25" borderId="39" xfId="51" applyNumberFormat="1" applyFont="1" applyFill="1" applyBorder="1"/>
    <xf numFmtId="0" fontId="10" fillId="25" borderId="11" xfId="53" applyFont="1" applyFill="1" applyBorder="1"/>
    <xf numFmtId="172" fontId="10" fillId="25" borderId="39" xfId="53" applyNumberFormat="1" applyFont="1" applyFill="1" applyBorder="1"/>
    <xf numFmtId="164" fontId="10" fillId="0" borderId="0" xfId="45" applyNumberFormat="1" applyFont="1" applyFill="1"/>
    <xf numFmtId="0" fontId="8" fillId="0" borderId="0" xfId="49" applyFont="1"/>
    <xf numFmtId="164" fontId="10" fillId="25" borderId="29" xfId="45" applyNumberFormat="1" applyFont="1" applyFill="1" applyBorder="1"/>
    <xf numFmtId="164" fontId="10" fillId="25" borderId="38" xfId="45" applyNumberFormat="1" applyFont="1" applyFill="1" applyBorder="1"/>
    <xf numFmtId="164" fontId="10" fillId="25" borderId="12" xfId="45" applyNumberFormat="1" applyFont="1" applyFill="1" applyBorder="1"/>
    <xf numFmtId="164" fontId="10" fillId="25" borderId="21" xfId="45" applyNumberFormat="1" applyFont="1" applyFill="1" applyBorder="1"/>
    <xf numFmtId="164" fontId="10" fillId="25" borderId="28" xfId="45" applyNumberFormat="1" applyFont="1" applyFill="1" applyBorder="1"/>
    <xf numFmtId="164" fontId="10" fillId="25" borderId="39" xfId="45" applyNumberFormat="1" applyFont="1" applyFill="1" applyBorder="1"/>
    <xf numFmtId="170" fontId="10" fillId="25" borderId="0" xfId="51" applyNumberFormat="1" applyFont="1" applyFill="1"/>
    <xf numFmtId="170" fontId="10" fillId="25" borderId="29" xfId="51" applyNumberFormat="1" applyFont="1" applyFill="1" applyBorder="1"/>
    <xf numFmtId="170" fontId="10" fillId="25" borderId="38" xfId="51" applyNumberFormat="1" applyFont="1" applyFill="1" applyBorder="1"/>
    <xf numFmtId="170" fontId="10" fillId="25" borderId="12" xfId="51" applyNumberFormat="1" applyFont="1" applyFill="1" applyBorder="1"/>
    <xf numFmtId="170" fontId="10" fillId="25" borderId="21" xfId="51" applyNumberFormat="1" applyFont="1" applyFill="1" applyBorder="1"/>
    <xf numFmtId="170" fontId="10" fillId="25" borderId="28" xfId="51" applyNumberFormat="1" applyFont="1" applyFill="1" applyBorder="1"/>
    <xf numFmtId="170" fontId="10" fillId="25" borderId="39" xfId="51" applyNumberFormat="1" applyFont="1" applyFill="1" applyBorder="1"/>
    <xf numFmtId="0" fontId="10" fillId="25" borderId="40" xfId="0" applyFont="1" applyFill="1" applyBorder="1"/>
    <xf numFmtId="0" fontId="8" fillId="25" borderId="41" xfId="0" applyFont="1" applyFill="1" applyBorder="1"/>
    <xf numFmtId="0" fontId="8" fillId="25" borderId="42" xfId="0" applyFont="1" applyFill="1" applyBorder="1"/>
    <xf numFmtId="0" fontId="10" fillId="25" borderId="12" xfId="0" applyFont="1" applyFill="1" applyBorder="1"/>
    <xf numFmtId="0" fontId="10" fillId="25" borderId="0" xfId="0" applyFont="1" applyFill="1" applyBorder="1"/>
    <xf numFmtId="0" fontId="10" fillId="25" borderId="21" xfId="0" applyFont="1" applyFill="1" applyBorder="1"/>
    <xf numFmtId="0" fontId="10" fillId="25" borderId="28" xfId="0" applyFont="1" applyFill="1" applyBorder="1"/>
    <xf numFmtId="0" fontId="10" fillId="25" borderId="11" xfId="0" applyFont="1" applyFill="1" applyBorder="1"/>
    <xf numFmtId="0" fontId="10" fillId="25" borderId="39" xfId="0" applyFont="1" applyFill="1" applyBorder="1"/>
    <xf numFmtId="0" fontId="4" fillId="0" borderId="0" xfId="72" applyFont="1"/>
    <xf numFmtId="0" fontId="63" fillId="0" borderId="0" xfId="0" applyFont="1" applyAlignment="1"/>
    <xf numFmtId="164" fontId="10" fillId="24" borderId="29" xfId="45" applyNumberFormat="1" applyFont="1" applyFill="1" applyBorder="1" applyAlignment="1">
      <alignment horizontal="right" vertical="top"/>
    </xf>
    <xf numFmtId="164" fontId="10" fillId="24" borderId="30" xfId="45" applyNumberFormat="1" applyFont="1" applyFill="1" applyBorder="1" applyAlignment="1">
      <alignment horizontal="right" vertical="top"/>
    </xf>
    <xf numFmtId="164" fontId="10" fillId="24" borderId="38" xfId="45" applyNumberFormat="1" applyFont="1" applyFill="1" applyBorder="1" applyAlignment="1">
      <alignment horizontal="right" vertical="top"/>
    </xf>
    <xf numFmtId="164" fontId="10" fillId="24" borderId="12" xfId="45" applyNumberFormat="1" applyFont="1" applyFill="1" applyBorder="1" applyAlignment="1">
      <alignment horizontal="right" vertical="top"/>
    </xf>
    <xf numFmtId="164" fontId="10" fillId="24" borderId="0" xfId="45" applyNumberFormat="1" applyFont="1" applyFill="1" applyBorder="1" applyAlignment="1">
      <alignment horizontal="right" vertical="top"/>
    </xf>
    <xf numFmtId="164" fontId="10" fillId="24" borderId="21" xfId="45" applyNumberFormat="1" applyFont="1" applyFill="1" applyBorder="1" applyAlignment="1">
      <alignment horizontal="right" vertical="top"/>
    </xf>
    <xf numFmtId="164" fontId="10" fillId="24" borderId="28" xfId="45" applyNumberFormat="1" applyFont="1" applyFill="1" applyBorder="1" applyAlignment="1">
      <alignment horizontal="right" vertical="top"/>
    </xf>
    <xf numFmtId="164" fontId="10" fillId="24" borderId="11" xfId="45" applyNumberFormat="1" applyFont="1" applyFill="1" applyBorder="1" applyAlignment="1">
      <alignment horizontal="right" vertical="top"/>
    </xf>
    <xf numFmtId="164" fontId="10" fillId="24" borderId="39" xfId="45" applyNumberFormat="1" applyFont="1" applyFill="1" applyBorder="1" applyAlignment="1">
      <alignment horizontal="right" vertical="top"/>
    </xf>
    <xf numFmtId="0" fontId="62" fillId="0" borderId="0" xfId="0" applyFont="1" applyFill="1" applyBorder="1" applyAlignment="1">
      <alignment horizontal="left"/>
    </xf>
    <xf numFmtId="43" fontId="60" fillId="0" borderId="0" xfId="59" applyFont="1" applyFill="1" applyBorder="1" applyAlignment="1">
      <alignment horizontal="center" vertical="top"/>
    </xf>
    <xf numFmtId="43" fontId="60" fillId="0" borderId="0" xfId="59" applyFont="1" applyAlignment="1">
      <alignment horizontal="center" vertical="top"/>
    </xf>
    <xf numFmtId="17" fontId="10" fillId="0" borderId="21" xfId="38" quotePrefix="1" applyNumberFormat="1" applyFont="1" applyFill="1" applyBorder="1" applyAlignment="1">
      <alignment horizontal="left" vertical="center"/>
    </xf>
    <xf numFmtId="0" fontId="10" fillId="0" borderId="21" xfId="38" quotePrefix="1" applyFont="1" applyFill="1" applyBorder="1" applyAlignment="1">
      <alignment horizontal="left"/>
    </xf>
    <xf numFmtId="0" fontId="10" fillId="0" borderId="39" xfId="38" quotePrefix="1" applyFont="1" applyFill="1" applyBorder="1" applyAlignment="1">
      <alignment horizontal="left"/>
    </xf>
    <xf numFmtId="0" fontId="13" fillId="0" borderId="21" xfId="38" applyFont="1" applyFill="1" applyBorder="1" applyAlignment="1">
      <alignment horizontal="left" vertical="center"/>
    </xf>
    <xf numFmtId="17" fontId="10" fillId="0" borderId="12" xfId="38" quotePrefix="1" applyNumberFormat="1" applyFont="1" applyFill="1" applyBorder="1" applyAlignment="1">
      <alignment horizontal="left" vertical="center"/>
    </xf>
    <xf numFmtId="0" fontId="10" fillId="0" borderId="12" xfId="38" quotePrefix="1" applyFont="1" applyFill="1" applyBorder="1" applyAlignment="1">
      <alignment horizontal="left"/>
    </xf>
    <xf numFmtId="0" fontId="10" fillId="0" borderId="28" xfId="38" quotePrefix="1" applyFont="1" applyFill="1" applyBorder="1" applyAlignment="1">
      <alignment horizontal="left"/>
    </xf>
    <xf numFmtId="0" fontId="13" fillId="0" borderId="12" xfId="38" applyFont="1" applyFill="1" applyBorder="1" applyAlignment="1">
      <alignment horizontal="left" vertical="center"/>
    </xf>
    <xf numFmtId="0" fontId="62" fillId="0" borderId="11" xfId="63" applyFont="1" applyFill="1" applyBorder="1" applyAlignment="1">
      <alignment vertical="center"/>
    </xf>
    <xf numFmtId="0" fontId="13" fillId="27" borderId="29" xfId="38" applyFont="1" applyFill="1" applyBorder="1" applyAlignment="1">
      <alignment horizontal="left" vertical="center"/>
    </xf>
    <xf numFmtId="0" fontId="13" fillId="27" borderId="38" xfId="38" applyFont="1" applyFill="1" applyBorder="1" applyAlignment="1">
      <alignment horizontal="left" vertical="center"/>
    </xf>
    <xf numFmtId="0" fontId="13" fillId="27" borderId="12" xfId="38" applyFont="1" applyFill="1" applyBorder="1" applyAlignment="1">
      <alignment horizontal="left" wrapText="1"/>
    </xf>
    <xf numFmtId="0" fontId="13" fillId="27" borderId="28" xfId="38" applyFont="1" applyFill="1" applyBorder="1" applyAlignment="1">
      <alignment horizontal="left" wrapText="1"/>
    </xf>
    <xf numFmtId="177" fontId="10" fillId="0" borderId="0" xfId="57" applyNumberFormat="1" applyFont="1" applyFill="1" applyBorder="1" applyAlignment="1">
      <alignment vertical="top"/>
    </xf>
    <xf numFmtId="177" fontId="13" fillId="0" borderId="46" xfId="57" applyNumberFormat="1" applyFont="1" applyFill="1" applyBorder="1" applyAlignment="1">
      <alignment vertical="top"/>
    </xf>
    <xf numFmtId="177" fontId="13" fillId="0" borderId="48" xfId="57" applyNumberFormat="1" applyFont="1" applyFill="1" applyBorder="1" applyAlignment="1">
      <alignment vertical="top"/>
    </xf>
    <xf numFmtId="178" fontId="10" fillId="0" borderId="0" xfId="69" applyNumberFormat="1" applyFont="1" applyFill="1" applyBorder="1" applyAlignment="1">
      <alignment vertical="top"/>
    </xf>
    <xf numFmtId="178" fontId="10" fillId="0" borderId="21" xfId="69" applyNumberFormat="1" applyFont="1" applyFill="1" applyBorder="1" applyAlignment="1">
      <alignment vertical="top"/>
    </xf>
    <xf numFmtId="178" fontId="13" fillId="0" borderId="21" xfId="69" applyNumberFormat="1" applyFont="1" applyFill="1" applyBorder="1" applyAlignment="1">
      <alignment vertical="top"/>
    </xf>
    <xf numFmtId="178" fontId="10" fillId="0" borderId="11" xfId="69" applyNumberFormat="1" applyFont="1" applyFill="1" applyBorder="1" applyAlignment="1">
      <alignment vertical="top"/>
    </xf>
    <xf numFmtId="178" fontId="10" fillId="0" borderId="39" xfId="69" applyNumberFormat="1" applyFont="1" applyFill="1" applyBorder="1" applyAlignment="1">
      <alignment vertical="top"/>
    </xf>
    <xf numFmtId="178" fontId="13" fillId="0" borderId="39" xfId="69" applyNumberFormat="1" applyFont="1" applyFill="1" applyBorder="1" applyAlignment="1">
      <alignment vertical="top"/>
    </xf>
    <xf numFmtId="0" fontId="13" fillId="0" borderId="21" xfId="0" applyFont="1" applyFill="1" applyBorder="1" applyAlignment="1">
      <alignment vertical="center"/>
    </xf>
    <xf numFmtId="0" fontId="14" fillId="0" borderId="39" xfId="0" applyFont="1" applyFill="1" applyBorder="1" applyAlignment="1">
      <alignment vertical="center"/>
    </xf>
    <xf numFmtId="0" fontId="14" fillId="0" borderId="21" xfId="0" applyFont="1" applyFill="1" applyBorder="1" applyAlignment="1">
      <alignment horizontal="left" vertical="center" indent="1"/>
    </xf>
    <xf numFmtId="0" fontId="13" fillId="0" borderId="12" xfId="0" applyFont="1" applyFill="1" applyBorder="1" applyAlignment="1">
      <alignment vertical="center"/>
    </xf>
    <xf numFmtId="0" fontId="14" fillId="0" borderId="12" xfId="0" applyFont="1" applyFill="1" applyBorder="1" applyAlignment="1">
      <alignment horizontal="left" vertical="center" indent="1"/>
    </xf>
    <xf numFmtId="0" fontId="14" fillId="0" borderId="28" xfId="0" applyFont="1" applyFill="1" applyBorder="1" applyAlignment="1">
      <alignment horizontal="left" vertical="center" indent="1"/>
    </xf>
    <xf numFmtId="0" fontId="62" fillId="0" borderId="11" xfId="0" applyFont="1" applyFill="1" applyBorder="1" applyAlignment="1">
      <alignment horizontal="left" vertical="center"/>
    </xf>
    <xf numFmtId="2" fontId="15" fillId="27" borderId="29" xfId="0" applyNumberFormat="1" applyFont="1" applyFill="1" applyBorder="1" applyAlignment="1">
      <alignment wrapText="1"/>
    </xf>
    <xf numFmtId="2" fontId="15" fillId="27" borderId="12" xfId="0" applyNumberFormat="1" applyFont="1" applyFill="1" applyBorder="1" applyAlignment="1">
      <alignment wrapText="1"/>
    </xf>
    <xf numFmtId="2" fontId="15" fillId="27" borderId="28" xfId="0" applyNumberFormat="1" applyFont="1" applyFill="1" applyBorder="1" applyAlignment="1">
      <alignment wrapText="1"/>
    </xf>
    <xf numFmtId="0" fontId="10" fillId="25" borderId="30" xfId="53" applyFont="1" applyFill="1" applyBorder="1"/>
    <xf numFmtId="1" fontId="43" fillId="25" borderId="0" xfId="59" applyNumberFormat="1" applyFont="1" applyFill="1" applyBorder="1"/>
    <xf numFmtId="175" fontId="57" fillId="25" borderId="0" xfId="59" applyNumberFormat="1" applyFont="1" applyFill="1" applyBorder="1" applyAlignment="1">
      <alignment horizontal="left"/>
    </xf>
    <xf numFmtId="175" fontId="43" fillId="25" borderId="11" xfId="59" applyNumberFormat="1" applyFont="1" applyFill="1" applyBorder="1" applyAlignment="1">
      <alignment horizontal="right"/>
    </xf>
    <xf numFmtId="0" fontId="62" fillId="0" borderId="0" xfId="0" applyFont="1" applyFill="1" applyBorder="1" applyAlignment="1">
      <alignment horizontal="left" vertical="center"/>
    </xf>
    <xf numFmtId="15" fontId="10" fillId="0" borderId="21" xfId="49" quotePrefix="1" applyNumberFormat="1" applyFont="1" applyFill="1" applyBorder="1" applyAlignment="1">
      <alignment horizontal="left" vertical="center"/>
    </xf>
    <xf numFmtId="15" fontId="10" fillId="0" borderId="39" xfId="49" quotePrefix="1" applyNumberFormat="1" applyFont="1" applyFill="1" applyBorder="1" applyAlignment="1">
      <alignment horizontal="left" vertical="center"/>
    </xf>
    <xf numFmtId="15" fontId="10" fillId="0" borderId="12" xfId="49" quotePrefix="1" applyNumberFormat="1" applyFont="1" applyFill="1" applyBorder="1" applyAlignment="1">
      <alignment horizontal="left" vertical="center"/>
    </xf>
    <xf numFmtId="15" fontId="10" fillId="0" borderId="28" xfId="49" quotePrefix="1" applyNumberFormat="1" applyFont="1" applyFill="1" applyBorder="1" applyAlignment="1">
      <alignment horizontal="left" vertical="center"/>
    </xf>
    <xf numFmtId="0" fontId="62" fillId="0" borderId="11" xfId="49" applyFont="1" applyFill="1" applyBorder="1" applyAlignment="1">
      <alignment horizontal="left" vertical="center"/>
    </xf>
    <xf numFmtId="0" fontId="10" fillId="0" borderId="28" xfId="49" quotePrefix="1" applyFont="1" applyFill="1" applyBorder="1" applyAlignment="1">
      <alignment horizontal="left" vertical="center"/>
    </xf>
    <xf numFmtId="0" fontId="13" fillId="27" borderId="29" xfId="49" applyFont="1" applyFill="1" applyBorder="1" applyAlignment="1">
      <alignment horizontal="left" wrapText="1"/>
    </xf>
    <xf numFmtId="0" fontId="13" fillId="27" borderId="12" xfId="49" applyFont="1" applyFill="1" applyBorder="1" applyAlignment="1">
      <alignment horizontal="left" wrapText="1"/>
    </xf>
    <xf numFmtId="0" fontId="13" fillId="27" borderId="28" xfId="49" applyFont="1" applyFill="1" applyBorder="1" applyAlignment="1">
      <alignment horizontal="left" wrapText="1"/>
    </xf>
    <xf numFmtId="165" fontId="14" fillId="0" borderId="12" xfId="0" applyNumberFormat="1" applyFont="1" applyFill="1" applyBorder="1" applyAlignment="1">
      <alignment horizontal="right" vertical="top"/>
    </xf>
    <xf numFmtId="0" fontId="0" fillId="0" borderId="41" xfId="0" applyFill="1" applyBorder="1"/>
    <xf numFmtId="165" fontId="13" fillId="0" borderId="41" xfId="0" applyNumberFormat="1" applyFont="1" applyFill="1" applyBorder="1" applyAlignment="1">
      <alignment horizontal="right" vertical="top"/>
    </xf>
    <xf numFmtId="165" fontId="13" fillId="0" borderId="42" xfId="0" applyNumberFormat="1" applyFont="1" applyFill="1" applyBorder="1" applyAlignment="1">
      <alignment horizontal="right" vertical="top"/>
    </xf>
    <xf numFmtId="0" fontId="0" fillId="0" borderId="40" xfId="0" applyFill="1" applyBorder="1"/>
    <xf numFmtId="0" fontId="13" fillId="0" borderId="41" xfId="0" applyFont="1" applyFill="1" applyBorder="1"/>
    <xf numFmtId="0" fontId="9" fillId="27" borderId="40" xfId="0" applyFont="1" applyFill="1" applyBorder="1" applyAlignment="1">
      <alignment horizontal="left" vertical="center"/>
    </xf>
    <xf numFmtId="0" fontId="13" fillId="27" borderId="41" xfId="0" applyFont="1" applyFill="1" applyBorder="1" applyAlignment="1">
      <alignment horizontal="left" vertical="center"/>
    </xf>
    <xf numFmtId="0" fontId="9" fillId="27" borderId="41" xfId="0" applyFont="1" applyFill="1" applyBorder="1" applyAlignment="1">
      <alignment horizontal="left" vertical="center"/>
    </xf>
    <xf numFmtId="17" fontId="13" fillId="27" borderId="40" xfId="0" quotePrefix="1" applyNumberFormat="1" applyFont="1" applyFill="1" applyBorder="1" applyAlignment="1">
      <alignment horizontal="centerContinuous" vertical="center"/>
    </xf>
    <xf numFmtId="0" fontId="13" fillId="27" borderId="41" xfId="0" applyFont="1" applyFill="1" applyBorder="1" applyAlignment="1">
      <alignment horizontal="centerContinuous" vertical="center"/>
    </xf>
    <xf numFmtId="0" fontId="13" fillId="27" borderId="42" xfId="0" applyFont="1" applyFill="1" applyBorder="1" applyAlignment="1">
      <alignment horizontal="centerContinuous" vertical="center"/>
    </xf>
    <xf numFmtId="0" fontId="13" fillId="27" borderId="41" xfId="0" quotePrefix="1" applyFont="1" applyFill="1" applyBorder="1" applyAlignment="1">
      <alignment horizontal="centerContinuous" vertical="center"/>
    </xf>
    <xf numFmtId="0" fontId="14" fillId="27" borderId="28" xfId="0" applyFont="1" applyFill="1" applyBorder="1"/>
    <xf numFmtId="2" fontId="15" fillId="27" borderId="28" xfId="0" applyNumberFormat="1" applyFont="1" applyFill="1" applyBorder="1" applyAlignment="1">
      <alignment horizontal="center" vertical="top" wrapText="1"/>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62" fillId="0" borderId="11" xfId="0" applyFont="1" applyFill="1" applyBorder="1" applyAlignment="1">
      <alignment vertical="center"/>
    </xf>
    <xf numFmtId="0" fontId="62" fillId="0" borderId="0" xfId="0" applyFont="1" applyFill="1" applyBorder="1" applyAlignment="1">
      <alignment vertical="center"/>
    </xf>
    <xf numFmtId="166" fontId="14" fillId="0" borderId="39" xfId="0" applyNumberFormat="1" applyFont="1" applyFill="1" applyBorder="1" applyAlignment="1">
      <alignment horizontal="center" vertical="center"/>
    </xf>
    <xf numFmtId="167" fontId="14" fillId="0" borderId="21" xfId="45" quotePrefix="1" applyNumberFormat="1" applyFont="1" applyFill="1" applyBorder="1" applyAlignment="1">
      <alignment horizontal="center" vertical="center"/>
    </xf>
    <xf numFmtId="166" fontId="14" fillId="0" borderId="39" xfId="0" quotePrefix="1" applyNumberFormat="1" applyFont="1" applyFill="1" applyBorder="1" applyAlignment="1">
      <alignment horizontal="center" vertical="center"/>
    </xf>
    <xf numFmtId="167" fontId="14" fillId="0" borderId="39" xfId="45" quotePrefix="1" applyNumberFormat="1" applyFont="1" applyFill="1" applyBorder="1" applyAlignment="1">
      <alignment horizontal="center" vertical="center"/>
    </xf>
    <xf numFmtId="0" fontId="14" fillId="0" borderId="0" xfId="0" applyFont="1" applyFill="1" applyBorder="1" applyAlignment="1">
      <alignment horizontal="left" vertical="center" indent="1"/>
    </xf>
    <xf numFmtId="166" fontId="14" fillId="0" borderId="0" xfId="0" applyNumberFormat="1" applyFont="1" applyFill="1" applyBorder="1" applyAlignment="1">
      <alignment horizontal="center" vertical="center"/>
    </xf>
    <xf numFmtId="9" fontId="14" fillId="0" borderId="0" xfId="45" applyNumberFormat="1" applyFont="1" applyFill="1" applyBorder="1" applyAlignment="1">
      <alignment horizontal="center" vertical="center"/>
    </xf>
    <xf numFmtId="167" fontId="14" fillId="0" borderId="0" xfId="45" quotePrefix="1" applyNumberFormat="1" applyFont="1" applyFill="1" applyBorder="1" applyAlignment="1">
      <alignment horizontal="center" vertical="center"/>
    </xf>
    <xf numFmtId="0" fontId="10" fillId="0" borderId="21" xfId="0" applyFont="1" applyFill="1" applyBorder="1" applyAlignment="1">
      <alignment horizontal="left" vertical="center" indent="1"/>
    </xf>
    <xf numFmtId="0" fontId="10" fillId="0" borderId="39" xfId="0" applyFont="1" applyFill="1" applyBorder="1" applyAlignment="1">
      <alignment horizontal="left" vertical="center" indent="1"/>
    </xf>
    <xf numFmtId="166" fontId="10" fillId="0" borderId="0" xfId="59" applyNumberFormat="1" applyFont="1" applyBorder="1"/>
    <xf numFmtId="166" fontId="54" fillId="0" borderId="0" xfId="59" applyNumberFormat="1" applyFont="1" applyBorder="1"/>
    <xf numFmtId="177" fontId="10" fillId="0" borderId="11" xfId="57" applyNumberFormat="1" applyFont="1" applyFill="1" applyBorder="1" applyAlignment="1">
      <alignment vertical="top"/>
    </xf>
    <xf numFmtId="17" fontId="55" fillId="27" borderId="11" xfId="53" quotePrefix="1" applyNumberFormat="1" applyFont="1" applyFill="1" applyBorder="1" applyAlignment="1">
      <alignment horizontal="center" vertical="center" wrapText="1"/>
    </xf>
    <xf numFmtId="17" fontId="55" fillId="27" borderId="39" xfId="53" quotePrefix="1" applyNumberFormat="1" applyFont="1" applyFill="1" applyBorder="1" applyAlignment="1">
      <alignment horizontal="center" vertical="center" wrapText="1"/>
    </xf>
    <xf numFmtId="0" fontId="55" fillId="27" borderId="29" xfId="53" applyFont="1" applyFill="1" applyBorder="1" applyAlignment="1">
      <alignment vertical="center"/>
    </xf>
    <xf numFmtId="0" fontId="55" fillId="27" borderId="12" xfId="53" applyFont="1" applyFill="1" applyBorder="1" applyAlignment="1">
      <alignment wrapText="1"/>
    </xf>
    <xf numFmtId="0" fontId="55" fillId="27" borderId="28" xfId="53" applyFont="1" applyFill="1" applyBorder="1" applyAlignment="1">
      <alignment horizontal="center" wrapText="1"/>
    </xf>
    <xf numFmtId="0" fontId="14" fillId="0" borderId="39" xfId="0" quotePrefix="1" applyFont="1" applyFill="1" applyBorder="1" applyAlignment="1">
      <alignment horizontal="left" vertical="center"/>
    </xf>
    <xf numFmtId="0" fontId="13" fillId="27" borderId="29" xfId="0" applyFont="1" applyFill="1" applyBorder="1" applyAlignment="1">
      <alignment horizontal="left" wrapText="1"/>
    </xf>
    <xf numFmtId="0" fontId="13" fillId="27" borderId="12" xfId="0" applyFont="1" applyFill="1" applyBorder="1" applyAlignment="1">
      <alignment horizontal="left" wrapText="1"/>
    </xf>
    <xf numFmtId="0" fontId="13" fillId="27" borderId="28" xfId="0" applyFont="1" applyFill="1" applyBorder="1" applyAlignment="1">
      <alignment horizontal="left" wrapText="1"/>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14" fillId="0" borderId="11" xfId="0" applyFont="1" applyFill="1" applyBorder="1"/>
    <xf numFmtId="0" fontId="13" fillId="0" borderId="11" xfId="0" applyFont="1" applyFill="1" applyBorder="1"/>
    <xf numFmtId="0" fontId="10" fillId="25" borderId="41" xfId="0" applyFont="1" applyFill="1" applyBorder="1"/>
    <xf numFmtId="1" fontId="15" fillId="27" borderId="41" xfId="0" applyNumberFormat="1" applyFont="1" applyFill="1" applyBorder="1" applyAlignment="1">
      <alignment horizontal="center" vertical="center" wrapText="1"/>
    </xf>
    <xf numFmtId="1" fontId="15" fillId="27" borderId="42" xfId="0" applyNumberFormat="1" applyFont="1" applyFill="1" applyBorder="1" applyAlignment="1">
      <alignment horizontal="center" vertical="center" wrapText="1"/>
    </xf>
    <xf numFmtId="2" fontId="15" fillId="27" borderId="28" xfId="0" applyNumberFormat="1" applyFont="1" applyFill="1" applyBorder="1" applyAlignment="1">
      <alignment horizontal="center" vertical="top" wrapText="1"/>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13" fillId="0" borderId="13"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27" borderId="11" xfId="0" applyFont="1" applyFill="1" applyBorder="1" applyAlignment="1">
      <alignment horizontal="left" vertical="top" wrapText="1"/>
    </xf>
    <xf numFmtId="17" fontId="71" fillId="0" borderId="21" xfId="38" quotePrefix="1" applyNumberFormat="1" applyFont="1" applyFill="1" applyBorder="1" applyAlignment="1">
      <alignment horizontal="left" vertical="center"/>
    </xf>
    <xf numFmtId="177" fontId="71" fillId="0" borderId="0" xfId="57" applyNumberFormat="1" applyFont="1" applyFill="1" applyBorder="1" applyAlignment="1">
      <alignment vertical="top"/>
    </xf>
    <xf numFmtId="178" fontId="71" fillId="0" borderId="21" xfId="69" applyNumberFormat="1" applyFont="1" applyFill="1" applyBorder="1" applyAlignment="1">
      <alignment vertical="top"/>
    </xf>
    <xf numFmtId="177" fontId="72" fillId="0" borderId="47" xfId="57" applyNumberFormat="1" applyFont="1" applyFill="1" applyBorder="1" applyAlignment="1">
      <alignment vertical="top"/>
    </xf>
    <xf numFmtId="178" fontId="71" fillId="0" borderId="0" xfId="69" applyNumberFormat="1" applyFont="1" applyFill="1" applyBorder="1" applyAlignment="1">
      <alignment vertical="top"/>
    </xf>
    <xf numFmtId="178" fontId="72" fillId="0" borderId="21" xfId="69" applyNumberFormat="1" applyFont="1" applyFill="1" applyBorder="1" applyAlignment="1">
      <alignment vertical="top"/>
    </xf>
    <xf numFmtId="15" fontId="71" fillId="0" borderId="21" xfId="49" quotePrefix="1" applyNumberFormat="1" applyFont="1" applyFill="1" applyBorder="1" applyAlignment="1">
      <alignment horizontal="left" vertical="center"/>
    </xf>
    <xf numFmtId="169" fontId="71" fillId="0" borderId="0" xfId="51" applyNumberFormat="1" applyFont="1" applyFill="1" applyBorder="1" applyAlignment="1">
      <alignment vertical="top"/>
    </xf>
    <xf numFmtId="164" fontId="71" fillId="0" borderId="21" xfId="45" applyNumberFormat="1" applyFont="1" applyFill="1" applyBorder="1" applyAlignment="1">
      <alignment horizontal="center" vertical="top"/>
    </xf>
    <xf numFmtId="0" fontId="71" fillId="0" borderId="0" xfId="49" quotePrefix="1" applyFont="1" applyFill="1" applyBorder="1" applyAlignment="1">
      <alignment horizontal="left" vertical="center"/>
    </xf>
    <xf numFmtId="169" fontId="71" fillId="0" borderId="0" xfId="50" applyNumberFormat="1" applyFont="1" applyFill="1" applyBorder="1" applyAlignment="1">
      <alignment horizontal="right" vertical="top"/>
    </xf>
    <xf numFmtId="0" fontId="73" fillId="0" borderId="0" xfId="49" applyFont="1" applyBorder="1"/>
    <xf numFmtId="0" fontId="73" fillId="0" borderId="21" xfId="49" applyFont="1" applyBorder="1"/>
    <xf numFmtId="0" fontId="0" fillId="0" borderId="28" xfId="0" applyFill="1" applyBorder="1"/>
    <xf numFmtId="0" fontId="9" fillId="27" borderId="42" xfId="0" applyFont="1" applyFill="1" applyBorder="1" applyAlignment="1">
      <alignment horizontal="left" vertical="center"/>
    </xf>
    <xf numFmtId="0" fontId="14" fillId="0" borderId="21" xfId="0" applyFont="1" applyFill="1" applyBorder="1" applyAlignment="1"/>
    <xf numFmtId="0" fontId="14" fillId="0" borderId="39" xfId="0" applyFont="1" applyFill="1" applyBorder="1"/>
    <xf numFmtId="0" fontId="0" fillId="0" borderId="39" xfId="0" applyFill="1" applyBorder="1"/>
    <xf numFmtId="0" fontId="13" fillId="0" borderId="39" xfId="0" applyFont="1" applyFill="1" applyBorder="1"/>
    <xf numFmtId="2" fontId="15" fillId="0" borderId="21" xfId="0" applyNumberFormat="1" applyFont="1" applyFill="1" applyBorder="1" applyAlignment="1">
      <alignment horizontal="center" vertical="top" wrapText="1"/>
    </xf>
    <xf numFmtId="0" fontId="13" fillId="27" borderId="29" xfId="0" applyFont="1" applyFill="1" applyBorder="1" applyAlignment="1">
      <alignment vertical="top"/>
    </xf>
    <xf numFmtId="0" fontId="13" fillId="27" borderId="12" xfId="0" applyFont="1" applyFill="1" applyBorder="1" applyAlignment="1">
      <alignment vertical="top"/>
    </xf>
    <xf numFmtId="0" fontId="13" fillId="27" borderId="28" xfId="0" applyFont="1" applyFill="1" applyBorder="1" applyAlignment="1">
      <alignment vertical="top"/>
    </xf>
    <xf numFmtId="0" fontId="13" fillId="27" borderId="40" xfId="0" applyFont="1" applyFill="1" applyBorder="1" applyAlignment="1">
      <alignment horizontal="left" vertical="center"/>
    </xf>
    <xf numFmtId="0" fontId="13" fillId="27" borderId="42" xfId="0" applyFont="1" applyFill="1" applyBorder="1" applyAlignment="1">
      <alignment horizontal="left" vertical="center"/>
    </xf>
    <xf numFmtId="179" fontId="10" fillId="0" borderId="0" xfId="0" applyNumberFormat="1" applyFont="1" applyFill="1" applyBorder="1" applyAlignment="1">
      <alignment horizontal="right" vertical="top"/>
    </xf>
    <xf numFmtId="179" fontId="10" fillId="0" borderId="21" xfId="0" applyNumberFormat="1" applyFont="1" applyFill="1" applyBorder="1" applyAlignment="1">
      <alignment horizontal="right" vertical="top"/>
    </xf>
    <xf numFmtId="179" fontId="10" fillId="0" borderId="11" xfId="0" applyNumberFormat="1" applyFont="1" applyFill="1" applyBorder="1" applyAlignment="1">
      <alignment horizontal="right" vertical="top"/>
    </xf>
    <xf numFmtId="179" fontId="10" fillId="0" borderId="39" xfId="0" applyNumberFormat="1" applyFont="1" applyFill="1" applyBorder="1" applyAlignment="1">
      <alignment horizontal="right" vertical="top"/>
    </xf>
    <xf numFmtId="179" fontId="13" fillId="0" borderId="11" xfId="0" applyNumberFormat="1" applyFont="1" applyFill="1" applyBorder="1" applyAlignment="1">
      <alignment horizontal="right" vertical="top"/>
    </xf>
    <xf numFmtId="179" fontId="13" fillId="0" borderId="39" xfId="0" applyNumberFormat="1" applyFont="1" applyFill="1" applyBorder="1" applyAlignment="1">
      <alignment horizontal="right" vertical="top"/>
    </xf>
    <xf numFmtId="179" fontId="10" fillId="0" borderId="0" xfId="0" applyNumberFormat="1" applyFont="1" applyFill="1" applyBorder="1" applyAlignment="1" applyProtection="1">
      <alignment horizontal="right" vertical="center"/>
      <protection locked="0"/>
    </xf>
    <xf numFmtId="179" fontId="10" fillId="0" borderId="11" xfId="0" applyNumberFormat="1" applyFont="1" applyFill="1" applyBorder="1" applyAlignment="1" applyProtection="1">
      <alignment horizontal="right" vertical="center"/>
      <protection locked="0"/>
    </xf>
    <xf numFmtId="179" fontId="13" fillId="0" borderId="41" xfId="0" applyNumberFormat="1" applyFont="1" applyFill="1" applyBorder="1" applyAlignment="1">
      <alignment horizontal="right" vertical="top"/>
    </xf>
    <xf numFmtId="180" fontId="10" fillId="0" borderId="21" xfId="45" applyNumberFormat="1" applyFont="1" applyBorder="1"/>
    <xf numFmtId="180" fontId="10" fillId="0" borderId="39" xfId="45" applyNumberFormat="1" applyFont="1" applyBorder="1"/>
    <xf numFmtId="180" fontId="13" fillId="0" borderId="39" xfId="45" applyNumberFormat="1" applyFont="1" applyFill="1" applyBorder="1" applyAlignment="1">
      <alignment horizontal="right" vertical="top"/>
    </xf>
    <xf numFmtId="165" fontId="14" fillId="0" borderId="11" xfId="0" applyNumberFormat="1" applyFont="1" applyFill="1" applyBorder="1" applyAlignment="1">
      <alignment horizontal="right" vertical="top"/>
    </xf>
    <xf numFmtId="165" fontId="14" fillId="0" borderId="39" xfId="0" applyNumberFormat="1" applyFont="1" applyFill="1" applyBorder="1" applyAlignment="1">
      <alignment horizontal="right" vertical="top"/>
    </xf>
    <xf numFmtId="176" fontId="14" fillId="0" borderId="0" xfId="45" applyNumberFormat="1" applyFont="1" applyFill="1" applyBorder="1" applyAlignment="1">
      <alignment horizontal="right" vertical="top"/>
    </xf>
    <xf numFmtId="176" fontId="14" fillId="0" borderId="21" xfId="45" applyNumberFormat="1" applyFont="1" applyFill="1" applyBorder="1" applyAlignment="1">
      <alignment horizontal="right" vertical="top"/>
    </xf>
    <xf numFmtId="176" fontId="14" fillId="0" borderId="11" xfId="45" applyNumberFormat="1" applyFont="1" applyFill="1" applyBorder="1" applyAlignment="1">
      <alignment horizontal="right" vertical="top"/>
    </xf>
    <xf numFmtId="176" fontId="14" fillId="0" borderId="39" xfId="45" applyNumberFormat="1" applyFont="1" applyFill="1" applyBorder="1" applyAlignment="1">
      <alignment horizontal="right" vertical="top"/>
    </xf>
    <xf numFmtId="176" fontId="13" fillId="0" borderId="11" xfId="45" applyNumberFormat="1" applyFont="1" applyFill="1" applyBorder="1" applyAlignment="1">
      <alignment horizontal="right" vertical="top"/>
    </xf>
    <xf numFmtId="176" fontId="13" fillId="0" borderId="39" xfId="45" applyNumberFormat="1" applyFont="1" applyFill="1" applyBorder="1" applyAlignment="1">
      <alignment horizontal="right" vertical="top"/>
    </xf>
    <xf numFmtId="0" fontId="9" fillId="0" borderId="42" xfId="0" applyFont="1" applyFill="1" applyBorder="1" applyAlignment="1">
      <alignment horizontal="left" vertical="center"/>
    </xf>
    <xf numFmtId="165" fontId="14" fillId="0" borderId="0" xfId="0" applyNumberFormat="1" applyFont="1"/>
    <xf numFmtId="0" fontId="63" fillId="0" borderId="0" xfId="0" applyFont="1" applyAlignment="1">
      <alignment vertical="center"/>
    </xf>
    <xf numFmtId="164" fontId="14" fillId="0" borderId="11" xfId="45" applyNumberFormat="1" applyFont="1" applyFill="1" applyBorder="1" applyAlignment="1">
      <alignment horizontal="right" vertical="top"/>
    </xf>
    <xf numFmtId="0" fontId="13" fillId="0" borderId="47" xfId="0" applyFont="1" applyFill="1" applyBorder="1" applyAlignment="1">
      <alignment horizontal="left" vertical="center"/>
    </xf>
    <xf numFmtId="0" fontId="13" fillId="0" borderId="48" xfId="0" applyFont="1" applyFill="1" applyBorder="1" applyAlignment="1">
      <alignment horizontal="left" vertical="top" wrapText="1"/>
    </xf>
    <xf numFmtId="0" fontId="14" fillId="0" borderId="46" xfId="0" applyFont="1" applyFill="1" applyBorder="1" applyAlignment="1">
      <alignment vertical="center"/>
    </xf>
    <xf numFmtId="0" fontId="14" fillId="0" borderId="48" xfId="0" applyFont="1" applyFill="1" applyBorder="1" applyAlignment="1">
      <alignment vertical="center"/>
    </xf>
    <xf numFmtId="0" fontId="13" fillId="0" borderId="48" xfId="0" applyFont="1" applyFill="1" applyBorder="1"/>
    <xf numFmtId="0" fontId="14" fillId="0" borderId="46" xfId="0" applyFont="1" applyBorder="1"/>
    <xf numFmtId="17" fontId="13" fillId="0" borderId="38" xfId="0" quotePrefix="1" applyNumberFormat="1" applyFont="1" applyFill="1" applyBorder="1" applyAlignment="1">
      <alignment horizontal="centerContinuous" vertical="center"/>
    </xf>
    <xf numFmtId="164" fontId="14" fillId="0" borderId="39" xfId="45" applyNumberFormat="1" applyFont="1" applyFill="1" applyBorder="1" applyAlignment="1">
      <alignment horizontal="right" vertical="top"/>
    </xf>
    <xf numFmtId="0" fontId="13" fillId="0" borderId="38" xfId="0" quotePrefix="1" applyFont="1" applyFill="1" applyBorder="1" applyAlignment="1">
      <alignment horizontal="centerContinuous" vertical="center"/>
    </xf>
    <xf numFmtId="0" fontId="14" fillId="0" borderId="28" xfId="0" applyFont="1" applyFill="1" applyBorder="1" applyAlignment="1">
      <alignment horizontal="center"/>
    </xf>
    <xf numFmtId="0" fontId="14" fillId="0" borderId="11" xfId="0" applyFont="1" applyFill="1" applyBorder="1" applyAlignment="1">
      <alignment horizontal="left" vertical="center"/>
    </xf>
    <xf numFmtId="17" fontId="13" fillId="0" borderId="24" xfId="0" applyNumberFormat="1" applyFont="1" applyFill="1" applyBorder="1" applyAlignment="1">
      <alignment horizontal="center" vertical="center"/>
    </xf>
    <xf numFmtId="17" fontId="13" fillId="0" borderId="27" xfId="0" applyNumberFormat="1" applyFont="1" applyFill="1" applyBorder="1" applyAlignment="1">
      <alignment horizontal="center" vertical="center"/>
    </xf>
    <xf numFmtId="2" fontId="15" fillId="0" borderId="13" xfId="0" applyNumberFormat="1" applyFont="1" applyFill="1" applyBorder="1" applyAlignment="1">
      <alignment horizontal="center" vertical="top" wrapText="1"/>
    </xf>
    <xf numFmtId="165" fontId="13" fillId="0" borderId="36" xfId="0" applyNumberFormat="1" applyFont="1" applyFill="1" applyBorder="1" applyAlignment="1">
      <alignment horizontal="right" vertical="top"/>
    </xf>
    <xf numFmtId="165" fontId="13" fillId="0" borderId="33" xfId="0" applyNumberFormat="1" applyFont="1" applyFill="1" applyBorder="1" applyAlignment="1">
      <alignment horizontal="right" vertical="top"/>
    </xf>
    <xf numFmtId="168" fontId="14" fillId="0" borderId="12" xfId="45" applyNumberFormat="1" applyFont="1" applyFill="1" applyBorder="1" applyAlignment="1">
      <alignment horizontal="right" vertical="top"/>
    </xf>
    <xf numFmtId="168" fontId="13" fillId="0" borderId="10" xfId="45" applyNumberFormat="1" applyFont="1" applyFill="1" applyBorder="1" applyAlignment="1">
      <alignment horizontal="right" vertical="top"/>
    </xf>
    <xf numFmtId="17" fontId="13" fillId="0" borderId="41" xfId="0" applyNumberFormat="1" applyFont="1" applyFill="1" applyBorder="1" applyAlignment="1">
      <alignment horizontal="centerContinuous" vertical="center"/>
    </xf>
    <xf numFmtId="17" fontId="13" fillId="0" borderId="42" xfId="0" applyNumberFormat="1" applyFont="1" applyFill="1" applyBorder="1" applyAlignment="1">
      <alignment horizontal="centerContinuous" vertical="center"/>
    </xf>
    <xf numFmtId="17" fontId="13" fillId="0" borderId="41" xfId="0" quotePrefix="1" applyNumberFormat="1" applyFont="1" applyFill="1" applyBorder="1" applyAlignment="1">
      <alignment horizontal="centerContinuous" vertical="center"/>
    </xf>
    <xf numFmtId="0" fontId="10" fillId="0" borderId="11" xfId="0" applyFont="1" applyFill="1" applyBorder="1" applyAlignment="1">
      <alignment horizontal="left" vertical="center"/>
    </xf>
    <xf numFmtId="0" fontId="10" fillId="0" borderId="11" xfId="0" applyFont="1" applyFill="1" applyBorder="1" applyAlignment="1">
      <alignment vertical="top"/>
    </xf>
    <xf numFmtId="165" fontId="13" fillId="27" borderId="11" xfId="0" applyNumberFormat="1" applyFont="1" applyFill="1" applyBorder="1" applyAlignment="1">
      <alignment horizontal="right" vertical="top"/>
    </xf>
    <xf numFmtId="0" fontId="10" fillId="0" borderId="39" xfId="0" applyFont="1" applyFill="1" applyBorder="1" applyAlignment="1">
      <alignment vertical="top"/>
    </xf>
    <xf numFmtId="0" fontId="0" fillId="0" borderId="0" xfId="0" applyAlignment="1">
      <alignment vertical="center"/>
    </xf>
    <xf numFmtId="0" fontId="10" fillId="0" borderId="0" xfId="38" applyFont="1" applyBorder="1" applyAlignment="1">
      <alignment vertical="center"/>
    </xf>
    <xf numFmtId="181" fontId="0" fillId="0" borderId="0" xfId="0" applyNumberFormat="1"/>
    <xf numFmtId="0" fontId="13" fillId="0" borderId="40" xfId="0" applyFont="1" applyFill="1" applyBorder="1" applyAlignment="1">
      <alignment vertical="center"/>
    </xf>
    <xf numFmtId="0" fontId="13" fillId="0" borderId="41" xfId="0" applyFont="1" applyFill="1" applyBorder="1" applyAlignment="1">
      <alignment vertical="center"/>
    </xf>
    <xf numFmtId="165" fontId="13" fillId="0" borderId="43" xfId="0" applyNumberFormat="1" applyFont="1" applyFill="1" applyBorder="1" applyAlignment="1">
      <alignment horizontal="right" vertical="top"/>
    </xf>
    <xf numFmtId="0" fontId="0" fillId="0" borderId="40" xfId="0" applyBorder="1"/>
    <xf numFmtId="0" fontId="13" fillId="0" borderId="40" xfId="0" applyFont="1" applyFill="1" applyBorder="1"/>
    <xf numFmtId="0" fontId="9" fillId="0" borderId="41" xfId="0" applyFont="1" applyFill="1" applyBorder="1"/>
    <xf numFmtId="182" fontId="10" fillId="0" borderId="46" xfId="52" applyNumberFormat="1" applyFont="1" applyBorder="1" applyAlignment="1" applyProtection="1">
      <alignment horizontal="right" vertical="center"/>
      <protection locked="0"/>
    </xf>
    <xf numFmtId="182" fontId="13" fillId="0" borderId="43" xfId="52" applyNumberFormat="1" applyFont="1" applyBorder="1" applyAlignment="1" applyProtection="1">
      <alignment horizontal="right" vertical="center"/>
      <protection locked="0"/>
    </xf>
    <xf numFmtId="0" fontId="8" fillId="0" borderId="28" xfId="38" applyFill="1" applyBorder="1"/>
    <xf numFmtId="0" fontId="14" fillId="0" borderId="11" xfId="38" applyFont="1" applyFill="1" applyBorder="1"/>
    <xf numFmtId="165" fontId="14" fillId="0" borderId="11" xfId="38" applyNumberFormat="1" applyFont="1" applyFill="1" applyBorder="1" applyAlignment="1">
      <alignment horizontal="right" vertical="top"/>
    </xf>
    <xf numFmtId="165" fontId="14" fillId="0" borderId="39" xfId="38" applyNumberFormat="1" applyFont="1" applyFill="1" applyBorder="1" applyAlignment="1">
      <alignment horizontal="right" vertical="top"/>
    </xf>
    <xf numFmtId="0" fontId="13" fillId="0" borderId="11" xfId="38" applyFont="1" applyFill="1" applyBorder="1"/>
    <xf numFmtId="165" fontId="13" fillId="0" borderId="11" xfId="38" applyNumberFormat="1" applyFont="1" applyFill="1" applyBorder="1" applyAlignment="1">
      <alignment horizontal="right" vertical="top"/>
    </xf>
    <xf numFmtId="165" fontId="13" fillId="0" borderId="39" xfId="38" applyNumberFormat="1" applyFont="1" applyFill="1" applyBorder="1" applyAlignment="1">
      <alignment horizontal="right" vertical="top"/>
    </xf>
    <xf numFmtId="164" fontId="13" fillId="0" borderId="11" xfId="45" applyNumberFormat="1" applyFont="1" applyFill="1" applyBorder="1" applyAlignment="1">
      <alignment horizontal="right" vertical="top"/>
    </xf>
    <xf numFmtId="0" fontId="14" fillId="0" borderId="39" xfId="38" applyFont="1" applyFill="1" applyBorder="1"/>
    <xf numFmtId="0" fontId="8" fillId="0" borderId="39" xfId="38" applyFill="1" applyBorder="1"/>
    <xf numFmtId="0" fontId="14" fillId="0" borderId="21" xfId="38" applyFont="1" applyFill="1" applyBorder="1"/>
    <xf numFmtId="0" fontId="8" fillId="0" borderId="0" xfId="38" applyFill="1" applyBorder="1"/>
    <xf numFmtId="164" fontId="13" fillId="0" borderId="0" xfId="45" applyNumberFormat="1" applyFont="1" applyFill="1" applyBorder="1" applyAlignment="1">
      <alignment horizontal="right" vertical="top"/>
    </xf>
    <xf numFmtId="0" fontId="14" fillId="27" borderId="28" xfId="0" applyFont="1" applyFill="1" applyBorder="1" applyAlignment="1">
      <alignment vertical="top"/>
    </xf>
    <xf numFmtId="0" fontId="13" fillId="27" borderId="11" xfId="0" applyFont="1" applyFill="1" applyBorder="1" applyAlignment="1">
      <alignment horizontal="left" vertical="top"/>
    </xf>
    <xf numFmtId="0" fontId="14" fillId="0" borderId="11" xfId="0" applyFont="1" applyFill="1" applyBorder="1" applyAlignment="1">
      <alignment horizontal="left"/>
    </xf>
    <xf numFmtId="165" fontId="14" fillId="0" borderId="28" xfId="0" applyNumberFormat="1" applyFont="1" applyFill="1" applyBorder="1" applyAlignment="1">
      <alignment horizontal="right" vertical="top"/>
    </xf>
    <xf numFmtId="165" fontId="13" fillId="27" borderId="28" xfId="0" applyNumberFormat="1" applyFont="1" applyFill="1" applyBorder="1" applyAlignment="1">
      <alignment horizontal="right" vertical="top"/>
    </xf>
    <xf numFmtId="165" fontId="13" fillId="0" borderId="12" xfId="0" applyNumberFormat="1" applyFont="1" applyFill="1" applyBorder="1" applyAlignment="1">
      <alignment horizontal="right" vertical="top"/>
    </xf>
    <xf numFmtId="176" fontId="14" fillId="0" borderId="12" xfId="45" applyNumberFormat="1" applyFont="1" applyFill="1" applyBorder="1" applyAlignment="1">
      <alignment horizontal="right" vertical="top"/>
    </xf>
    <xf numFmtId="176" fontId="14" fillId="0" borderId="28" xfId="45" applyNumberFormat="1" applyFont="1" applyFill="1" applyBorder="1" applyAlignment="1">
      <alignment horizontal="right" vertical="top"/>
    </xf>
    <xf numFmtId="176" fontId="13" fillId="0" borderId="28" xfId="45" applyNumberFormat="1" applyFont="1" applyFill="1" applyBorder="1" applyAlignment="1">
      <alignment horizontal="right" vertical="top"/>
    </xf>
    <xf numFmtId="165" fontId="14" fillId="0" borderId="40" xfId="0" applyNumberFormat="1" applyFont="1" applyFill="1" applyBorder="1" applyAlignment="1">
      <alignment horizontal="right" vertical="top"/>
    </xf>
    <xf numFmtId="165" fontId="14" fillId="0" borderId="42" xfId="0" applyNumberFormat="1" applyFont="1" applyFill="1" applyBorder="1" applyAlignment="1">
      <alignment horizontal="right" vertical="top"/>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13" fillId="27" borderId="39"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165" fontId="14" fillId="0" borderId="0" xfId="0" applyNumberFormat="1" applyFont="1" applyFill="1" applyBorder="1" applyAlignment="1" applyProtection="1">
      <alignment horizontal="left" vertical="center"/>
      <protection locked="0"/>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0" fontId="0" fillId="0" borderId="12" xfId="0" applyFill="1" applyBorder="1" applyAlignment="1">
      <alignment vertical="center"/>
    </xf>
    <xf numFmtId="0" fontId="0" fillId="0" borderId="28" xfId="0" applyFill="1" applyBorder="1" applyAlignment="1">
      <alignment vertical="center"/>
    </xf>
    <xf numFmtId="183" fontId="14" fillId="0" borderId="11" xfId="0"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0" fontId="13" fillId="0" borderId="11" xfId="0" applyFont="1" applyFill="1" applyBorder="1" applyAlignment="1">
      <alignment vertical="center"/>
    </xf>
    <xf numFmtId="0" fontId="0" fillId="0" borderId="39" xfId="0" applyFill="1" applyBorder="1" applyAlignment="1">
      <alignment vertical="center"/>
    </xf>
    <xf numFmtId="183" fontId="13" fillId="0" borderId="11" xfId="0" applyNumberFormat="1" applyFont="1" applyFill="1" applyBorder="1" applyAlignment="1">
      <alignment horizontal="right" vertical="center"/>
    </xf>
    <xf numFmtId="183" fontId="13" fillId="0" borderId="39" xfId="0" applyNumberFormat="1" applyFont="1" applyFill="1" applyBorder="1" applyAlignment="1">
      <alignment horizontal="right" vertical="center"/>
    </xf>
    <xf numFmtId="184" fontId="14" fillId="0" borderId="0" xfId="45" applyNumberFormat="1" applyFont="1" applyFill="1" applyBorder="1" applyAlignment="1">
      <alignment horizontal="right" vertical="center"/>
    </xf>
    <xf numFmtId="184" fontId="14" fillId="0" borderId="21" xfId="45" applyNumberFormat="1" applyFont="1" applyFill="1" applyBorder="1" applyAlignment="1">
      <alignment horizontal="right" vertical="center"/>
    </xf>
    <xf numFmtId="184" fontId="14" fillId="0" borderId="11" xfId="45" applyNumberFormat="1" applyFont="1" applyFill="1" applyBorder="1" applyAlignment="1">
      <alignment horizontal="right" vertical="center"/>
    </xf>
    <xf numFmtId="184" fontId="14" fillId="0" borderId="39" xfId="45" applyNumberFormat="1" applyFont="1" applyFill="1" applyBorder="1" applyAlignment="1">
      <alignment horizontal="right" vertical="center"/>
    </xf>
    <xf numFmtId="184" fontId="13" fillId="0" borderId="11" xfId="45" applyNumberFormat="1" applyFont="1" applyFill="1" applyBorder="1" applyAlignment="1">
      <alignment horizontal="right" vertical="center"/>
    </xf>
    <xf numFmtId="184" fontId="13" fillId="0" borderId="39" xfId="45" applyNumberFormat="1" applyFont="1" applyFill="1" applyBorder="1" applyAlignment="1">
      <alignment horizontal="right" vertical="center"/>
    </xf>
    <xf numFmtId="0" fontId="19" fillId="0" borderId="0" xfId="0" applyFont="1" applyFill="1"/>
    <xf numFmtId="0" fontId="14" fillId="0" borderId="11" xfId="0" applyFont="1" applyFill="1" applyBorder="1" applyAlignment="1">
      <alignment horizontal="left" vertical="top"/>
    </xf>
    <xf numFmtId="0" fontId="10" fillId="0" borderId="11" xfId="0" applyFont="1" applyFill="1" applyBorder="1" applyAlignment="1">
      <alignment vertical="center"/>
    </xf>
    <xf numFmtId="0" fontId="10" fillId="0" borderId="21" xfId="0" applyFont="1" applyFill="1" applyBorder="1" applyAlignment="1">
      <alignment vertical="top"/>
    </xf>
    <xf numFmtId="0" fontId="14" fillId="0" borderId="21" xfId="0" applyFont="1" applyFill="1" applyBorder="1" applyAlignment="1">
      <alignment vertical="top"/>
    </xf>
    <xf numFmtId="0" fontId="14" fillId="0" borderId="21" xfId="0" applyFont="1" applyFill="1" applyBorder="1" applyAlignment="1">
      <alignment vertical="top" wrapText="1"/>
    </xf>
    <xf numFmtId="0" fontId="10" fillId="0" borderId="21" xfId="0" applyFont="1" applyFill="1" applyBorder="1" applyAlignment="1">
      <alignment vertical="top" wrapText="1"/>
    </xf>
    <xf numFmtId="0" fontId="14" fillId="0" borderId="21" xfId="0" applyFont="1" applyFill="1" applyBorder="1" applyAlignment="1">
      <alignment vertical="center" wrapText="1"/>
    </xf>
    <xf numFmtId="0" fontId="10" fillId="0" borderId="39" xfId="0" applyFont="1" applyFill="1" applyBorder="1" applyAlignment="1">
      <alignment vertical="top" wrapText="1"/>
    </xf>
    <xf numFmtId="185" fontId="14" fillId="0" borderId="0" xfId="0" applyNumberFormat="1" applyFont="1" applyFill="1" applyBorder="1" applyAlignment="1">
      <alignment horizontal="right" vertical="center"/>
    </xf>
    <xf numFmtId="185" fontId="14" fillId="0" borderId="21" xfId="0" applyNumberFormat="1" applyFont="1" applyFill="1" applyBorder="1" applyAlignment="1">
      <alignment horizontal="right" vertical="center"/>
    </xf>
    <xf numFmtId="185" fontId="14" fillId="0" borderId="11" xfId="0" applyNumberFormat="1" applyFont="1" applyFill="1" applyBorder="1" applyAlignment="1">
      <alignment horizontal="right" vertical="center"/>
    </xf>
    <xf numFmtId="185" fontId="14" fillId="0" borderId="39" xfId="0" applyNumberFormat="1" applyFont="1" applyFill="1" applyBorder="1" applyAlignment="1">
      <alignment horizontal="right" vertical="center"/>
    </xf>
    <xf numFmtId="185" fontId="13" fillId="0" borderId="11" xfId="0" applyNumberFormat="1" applyFont="1" applyFill="1" applyBorder="1" applyAlignment="1">
      <alignment horizontal="right" vertical="center"/>
    </xf>
    <xf numFmtId="185" fontId="13" fillId="0" borderId="39" xfId="0" applyNumberFormat="1" applyFont="1" applyFill="1" applyBorder="1" applyAlignment="1">
      <alignment horizontal="right" vertical="center"/>
    </xf>
    <xf numFmtId="0" fontId="13" fillId="0" borderId="28" xfId="0" applyFont="1" applyFill="1" applyBorder="1" applyAlignment="1">
      <alignment horizontal="left" vertical="top" wrapText="1"/>
    </xf>
    <xf numFmtId="2" fontId="15" fillId="0" borderId="29" xfId="0" applyNumberFormat="1" applyFont="1" applyFill="1" applyBorder="1" applyAlignment="1">
      <alignment horizontal="left" vertical="top"/>
    </xf>
    <xf numFmtId="0" fontId="10" fillId="0" borderId="30" xfId="0" applyFont="1" applyBorder="1"/>
    <xf numFmtId="0" fontId="10" fillId="0" borderId="38" xfId="0" applyFont="1" applyBorder="1"/>
    <xf numFmtId="0" fontId="10" fillId="0" borderId="0" xfId="0" applyFont="1" applyBorder="1"/>
    <xf numFmtId="164" fontId="10" fillId="0" borderId="0" xfId="45" applyNumberFormat="1" applyFont="1" applyBorder="1"/>
    <xf numFmtId="170" fontId="10" fillId="0" borderId="0" xfId="51" applyNumberFormat="1" applyFont="1" applyBorder="1"/>
    <xf numFmtId="2" fontId="15" fillId="0" borderId="12" xfId="0" applyNumberFormat="1" applyFont="1" applyFill="1" applyBorder="1" applyAlignment="1">
      <alignment horizontal="left" vertical="top"/>
    </xf>
    <xf numFmtId="164" fontId="10" fillId="0" borderId="21" xfId="45" applyNumberFormat="1" applyFont="1" applyBorder="1"/>
    <xf numFmtId="0" fontId="13" fillId="0" borderId="41" xfId="0" applyFont="1" applyBorder="1"/>
    <xf numFmtId="170" fontId="13" fillId="0" borderId="41" xfId="51" applyNumberFormat="1" applyFont="1" applyBorder="1"/>
    <xf numFmtId="0" fontId="13" fillId="0" borderId="24" xfId="0" applyFont="1" applyFill="1" applyBorder="1" applyAlignment="1">
      <alignment horizontal="left" vertical="center"/>
    </xf>
    <xf numFmtId="0" fontId="13" fillId="0" borderId="11" xfId="0" applyFont="1" applyFill="1" applyBorder="1" applyAlignment="1">
      <alignment horizontal="left" vertical="top" wrapText="1"/>
    </xf>
    <xf numFmtId="2" fontId="15" fillId="0" borderId="28" xfId="0" applyNumberFormat="1" applyFont="1" applyFill="1" applyBorder="1" applyAlignment="1">
      <alignment horizontal="center" vertical="top" wrapText="1"/>
    </xf>
    <xf numFmtId="170" fontId="10" fillId="0" borderId="12" xfId="51" applyNumberFormat="1" applyFont="1" applyBorder="1"/>
    <xf numFmtId="170" fontId="13" fillId="0" borderId="21" xfId="51" applyNumberFormat="1" applyFont="1" applyBorder="1"/>
    <xf numFmtId="170" fontId="13" fillId="0" borderId="40" xfId="0" applyNumberFormat="1" applyFont="1" applyBorder="1"/>
    <xf numFmtId="170" fontId="13" fillId="0" borderId="42" xfId="51" applyNumberFormat="1" applyFont="1" applyBorder="1"/>
    <xf numFmtId="164" fontId="13" fillId="0" borderId="41" xfId="45" applyNumberFormat="1" applyFont="1" applyBorder="1"/>
    <xf numFmtId="164" fontId="13" fillId="0" borderId="42" xfId="45" applyNumberFormat="1" applyFont="1" applyBorder="1"/>
    <xf numFmtId="0" fontId="46" fillId="25" borderId="40" xfId="45" applyNumberFormat="1" applyFont="1" applyFill="1" applyBorder="1" applyAlignment="1">
      <alignment vertical="center"/>
    </xf>
    <xf numFmtId="0" fontId="43" fillId="25" borderId="30" xfId="0" applyFont="1" applyFill="1" applyBorder="1"/>
    <xf numFmtId="170" fontId="43" fillId="25" borderId="30" xfId="51" applyNumberFormat="1" applyFont="1" applyFill="1" applyBorder="1"/>
    <xf numFmtId="170" fontId="43" fillId="25" borderId="38" xfId="51" applyNumberFormat="1" applyFont="1" applyFill="1" applyBorder="1"/>
    <xf numFmtId="0" fontId="43" fillId="25" borderId="0" xfId="0" applyFont="1" applyFill="1" applyBorder="1"/>
    <xf numFmtId="164" fontId="43" fillId="25" borderId="0" xfId="45" applyNumberFormat="1" applyFont="1" applyFill="1" applyBorder="1"/>
    <xf numFmtId="164" fontId="43" fillId="25" borderId="21" xfId="45" applyNumberFormat="1" applyFont="1" applyFill="1" applyBorder="1"/>
    <xf numFmtId="0" fontId="43" fillId="25" borderId="11" xfId="0" applyFont="1" applyFill="1" applyBorder="1"/>
    <xf numFmtId="164" fontId="43" fillId="25" borderId="11" xfId="45" applyNumberFormat="1" applyFont="1" applyFill="1" applyBorder="1"/>
    <xf numFmtId="164" fontId="43" fillId="25" borderId="39" xfId="45" applyNumberFormat="1" applyFont="1" applyFill="1" applyBorder="1"/>
    <xf numFmtId="0" fontId="13" fillId="26" borderId="40" xfId="0" applyFont="1" applyFill="1" applyBorder="1"/>
    <xf numFmtId="0" fontId="10" fillId="26" borderId="41" xfId="0" applyFont="1" applyFill="1" applyBorder="1"/>
    <xf numFmtId="0" fontId="8" fillId="26" borderId="41" xfId="0" applyFont="1" applyFill="1" applyBorder="1"/>
    <xf numFmtId="0" fontId="8" fillId="26" borderId="42" xfId="0" applyFont="1" applyFill="1" applyBorder="1"/>
    <xf numFmtId="0" fontId="10" fillId="26" borderId="12" xfId="0" applyFont="1" applyFill="1" applyBorder="1"/>
    <xf numFmtId="0" fontId="10" fillId="26" borderId="0" xfId="0" applyFont="1" applyFill="1" applyBorder="1"/>
    <xf numFmtId="0" fontId="10" fillId="26" borderId="21" xfId="0" applyFont="1" applyFill="1" applyBorder="1"/>
    <xf numFmtId="0" fontId="10" fillId="26" borderId="28" xfId="0" applyFont="1" applyFill="1" applyBorder="1"/>
    <xf numFmtId="0" fontId="10" fillId="26" borderId="11" xfId="0" applyFont="1" applyFill="1" applyBorder="1"/>
    <xf numFmtId="0" fontId="10" fillId="26" borderId="39" xfId="0" applyFont="1" applyFill="1" applyBorder="1"/>
    <xf numFmtId="177" fontId="14" fillId="0" borderId="21" xfId="0" applyNumberFormat="1" applyFont="1" applyFill="1" applyBorder="1" applyAlignment="1">
      <alignment vertical="top"/>
    </xf>
    <xf numFmtId="177" fontId="14" fillId="0" borderId="0" xfId="0" applyNumberFormat="1" applyFont="1" applyFill="1" applyBorder="1" applyAlignment="1">
      <alignment vertical="top"/>
    </xf>
    <xf numFmtId="177" fontId="14" fillId="0" borderId="39" xfId="0" applyNumberFormat="1" applyFont="1" applyFill="1" applyBorder="1" applyAlignment="1">
      <alignment vertical="top"/>
    </xf>
    <xf numFmtId="177" fontId="14" fillId="0" borderId="11" xfId="0" applyNumberFormat="1" applyFont="1" applyFill="1" applyBorder="1" applyAlignment="1">
      <alignment vertical="top"/>
    </xf>
    <xf numFmtId="186" fontId="14" fillId="0" borderId="0" xfId="0" applyNumberFormat="1" applyFont="1" applyFill="1" applyBorder="1" applyAlignment="1">
      <alignment vertical="top"/>
    </xf>
    <xf numFmtId="186" fontId="14" fillId="0" borderId="21" xfId="0" applyNumberFormat="1" applyFont="1" applyFill="1" applyBorder="1" applyAlignment="1">
      <alignment vertical="top"/>
    </xf>
    <xf numFmtId="186" fontId="14" fillId="0" borderId="11" xfId="0" applyNumberFormat="1" applyFont="1" applyFill="1" applyBorder="1" applyAlignment="1">
      <alignment vertical="top"/>
    </xf>
    <xf numFmtId="186" fontId="14" fillId="0" borderId="39" xfId="0" applyNumberFormat="1" applyFont="1" applyFill="1" applyBorder="1" applyAlignment="1">
      <alignment vertical="top"/>
    </xf>
    <xf numFmtId="165" fontId="14" fillId="0" borderId="0" xfId="0" applyNumberFormat="1" applyFont="1" applyFill="1" applyBorder="1" applyAlignment="1">
      <alignment horizontal="right" vertical="center"/>
    </xf>
    <xf numFmtId="165" fontId="14" fillId="0" borderId="21" xfId="0" applyNumberFormat="1" applyFont="1" applyFill="1" applyBorder="1" applyAlignment="1">
      <alignment horizontal="right" vertical="center"/>
    </xf>
    <xf numFmtId="165" fontId="14" fillId="0" borderId="11" xfId="0" applyNumberFormat="1" applyFont="1" applyFill="1" applyBorder="1" applyAlignment="1">
      <alignment horizontal="right" vertical="center"/>
    </xf>
    <xf numFmtId="165" fontId="14" fillId="0" borderId="39" xfId="0" applyNumberFormat="1" applyFont="1" applyFill="1" applyBorder="1" applyAlignment="1">
      <alignment horizontal="right" vertical="center"/>
    </xf>
    <xf numFmtId="165" fontId="13" fillId="0" borderId="11" xfId="0" applyNumberFormat="1" applyFont="1" applyFill="1" applyBorder="1" applyAlignment="1">
      <alignment horizontal="right" vertical="center"/>
    </xf>
    <xf numFmtId="165" fontId="13" fillId="0" borderId="39" xfId="0" applyNumberFormat="1" applyFont="1" applyFill="1" applyBorder="1" applyAlignment="1">
      <alignment horizontal="right" vertical="center"/>
    </xf>
    <xf numFmtId="0" fontId="10" fillId="0" borderId="39" xfId="0" applyFont="1" applyFill="1" applyBorder="1" applyAlignment="1">
      <alignment vertical="center"/>
    </xf>
    <xf numFmtId="176" fontId="14" fillId="0" borderId="0" xfId="45" applyNumberFormat="1" applyFont="1" applyFill="1" applyBorder="1" applyAlignment="1">
      <alignment horizontal="right" vertical="center"/>
    </xf>
    <xf numFmtId="176" fontId="14" fillId="0" borderId="21" xfId="45" applyNumberFormat="1" applyFont="1" applyFill="1" applyBorder="1" applyAlignment="1">
      <alignment horizontal="right" vertical="center"/>
    </xf>
    <xf numFmtId="176" fontId="14" fillId="0" borderId="11" xfId="45" applyNumberFormat="1" applyFont="1" applyFill="1" applyBorder="1" applyAlignment="1">
      <alignment horizontal="right" vertical="center"/>
    </xf>
    <xf numFmtId="176" fontId="14" fillId="0" borderId="39" xfId="45" applyNumberFormat="1" applyFont="1" applyFill="1" applyBorder="1" applyAlignment="1">
      <alignment horizontal="right" vertical="center"/>
    </xf>
    <xf numFmtId="176" fontId="13" fillId="0" borderId="11" xfId="45" applyNumberFormat="1" applyFont="1" applyFill="1" applyBorder="1" applyAlignment="1">
      <alignment horizontal="right" vertical="center"/>
    </xf>
    <xf numFmtId="176" fontId="13" fillId="0" borderId="39" xfId="45" applyNumberFormat="1" applyFont="1" applyFill="1" applyBorder="1" applyAlignment="1">
      <alignment horizontal="right" vertical="center"/>
    </xf>
    <xf numFmtId="0" fontId="13" fillId="0" borderId="0" xfId="0" applyFont="1" applyFill="1" applyBorder="1" applyAlignment="1">
      <alignment vertical="center"/>
    </xf>
    <xf numFmtId="165" fontId="13" fillId="0" borderId="0" xfId="0" applyNumberFormat="1" applyFont="1" applyFill="1" applyBorder="1" applyAlignment="1">
      <alignment horizontal="right" vertical="center"/>
    </xf>
    <xf numFmtId="165" fontId="13" fillId="0" borderId="21" xfId="0" applyNumberFormat="1" applyFont="1" applyFill="1" applyBorder="1" applyAlignment="1">
      <alignment horizontal="right" vertical="center"/>
    </xf>
    <xf numFmtId="0" fontId="18" fillId="25" borderId="29" xfId="0" applyFont="1" applyFill="1" applyBorder="1" applyAlignment="1">
      <alignment vertical="center"/>
    </xf>
    <xf numFmtId="165" fontId="18" fillId="25" borderId="30" xfId="0" applyNumberFormat="1" applyFont="1" applyFill="1" applyBorder="1" applyAlignment="1">
      <alignment horizontal="right" vertical="top"/>
    </xf>
    <xf numFmtId="165" fontId="18" fillId="25" borderId="38" xfId="0" applyNumberFormat="1" applyFont="1" applyFill="1" applyBorder="1" applyAlignment="1">
      <alignment horizontal="right" vertical="top"/>
    </xf>
    <xf numFmtId="0" fontId="18" fillId="25" borderId="28" xfId="0" applyFont="1" applyFill="1" applyBorder="1" applyAlignment="1">
      <alignment vertical="center"/>
    </xf>
    <xf numFmtId="0" fontId="14" fillId="0" borderId="12" xfId="0" applyFont="1" applyFill="1" applyBorder="1" applyAlignment="1">
      <alignment horizontal="center" vertical="center"/>
    </xf>
    <xf numFmtId="0" fontId="0" fillId="0" borderId="28" xfId="0" applyFill="1" applyBorder="1" applyAlignment="1">
      <alignment horizontal="center" vertical="center"/>
    </xf>
    <xf numFmtId="0" fontId="43" fillId="25" borderId="46" xfId="0" applyFont="1" applyFill="1" applyBorder="1"/>
    <xf numFmtId="165" fontId="43" fillId="25" borderId="12" xfId="0" applyNumberFormat="1" applyFont="1" applyFill="1" applyBorder="1" applyAlignment="1" applyProtection="1">
      <alignment horizontal="right" vertical="center"/>
      <protection locked="0"/>
    </xf>
    <xf numFmtId="0" fontId="13" fillId="0" borderId="21" xfId="0" applyFont="1" applyFill="1" applyBorder="1" applyAlignment="1">
      <alignment horizontal="left" vertical="center" wrapText="1"/>
    </xf>
    <xf numFmtId="2" fontId="15" fillId="0" borderId="0" xfId="0" applyNumberFormat="1" applyFont="1" applyFill="1" applyBorder="1" applyAlignment="1">
      <alignment horizontal="center" vertical="center" wrapText="1"/>
    </xf>
    <xf numFmtId="2" fontId="15" fillId="0" borderId="21" xfId="0" applyNumberFormat="1" applyFont="1" applyFill="1" applyBorder="1" applyAlignment="1">
      <alignment horizontal="center" vertical="center" wrapText="1"/>
    </xf>
    <xf numFmtId="165" fontId="65" fillId="27" borderId="11" xfId="0" applyNumberFormat="1" applyFont="1" applyFill="1" applyBorder="1" applyAlignment="1">
      <alignment horizontal="right" vertical="center"/>
    </xf>
    <xf numFmtId="165" fontId="13" fillId="27" borderId="11" xfId="0" applyNumberFormat="1" applyFont="1" applyFill="1" applyBorder="1" applyAlignment="1">
      <alignment horizontal="right" vertical="center"/>
    </xf>
    <xf numFmtId="170" fontId="14" fillId="0" borderId="0" xfId="51" applyNumberFormat="1" applyFont="1"/>
    <xf numFmtId="0" fontId="46" fillId="25" borderId="40" xfId="0" applyFont="1" applyFill="1" applyBorder="1"/>
    <xf numFmtId="165" fontId="46" fillId="25" borderId="41" xfId="0" applyNumberFormat="1" applyFont="1" applyFill="1" applyBorder="1"/>
    <xf numFmtId="165" fontId="46" fillId="25" borderId="41" xfId="0" applyNumberFormat="1" applyFont="1" applyFill="1" applyBorder="1" applyAlignment="1" applyProtection="1">
      <alignment horizontal="right" vertical="center"/>
      <protection locked="0"/>
    </xf>
    <xf numFmtId="165" fontId="46" fillId="25" borderId="42" xfId="0" applyNumberFormat="1" applyFont="1" applyFill="1" applyBorder="1" applyAlignment="1" applyProtection="1">
      <alignment horizontal="right" vertical="center"/>
      <protection locked="0"/>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17" fontId="55" fillId="27" borderId="28" xfId="53" quotePrefix="1" applyNumberFormat="1" applyFont="1" applyFill="1" applyBorder="1" applyAlignment="1">
      <alignment horizontal="center" vertical="center" wrapText="1"/>
    </xf>
    <xf numFmtId="17" fontId="55" fillId="27" borderId="41" xfId="53" quotePrefix="1" applyNumberFormat="1" applyFont="1" applyFill="1" applyBorder="1" applyAlignment="1">
      <alignment horizontal="center" vertical="center" wrapText="1"/>
    </xf>
    <xf numFmtId="0" fontId="0" fillId="0" borderId="40" xfId="0" applyFill="1" applyBorder="1" applyAlignment="1">
      <alignment vertical="center"/>
    </xf>
    <xf numFmtId="0" fontId="0" fillId="0" borderId="42" xfId="0" applyFill="1" applyBorder="1" applyAlignment="1">
      <alignment vertical="center"/>
    </xf>
    <xf numFmtId="185" fontId="13" fillId="0" borderId="41" xfId="0" applyNumberFormat="1" applyFont="1" applyFill="1" applyBorder="1" applyAlignment="1">
      <alignment horizontal="right" vertical="center"/>
    </xf>
    <xf numFmtId="185" fontId="13" fillId="0" borderId="42" xfId="0" applyNumberFormat="1" applyFont="1" applyFill="1" applyBorder="1" applyAlignment="1">
      <alignment horizontal="right" vertical="center"/>
    </xf>
    <xf numFmtId="0" fontId="42" fillId="25" borderId="29" xfId="0" applyFont="1" applyFill="1" applyBorder="1"/>
    <xf numFmtId="165" fontId="42" fillId="25" borderId="30" xfId="0" applyNumberFormat="1" applyFont="1" applyFill="1" applyBorder="1"/>
    <xf numFmtId="165" fontId="42" fillId="25" borderId="38" xfId="0" applyNumberFormat="1" applyFont="1" applyFill="1" applyBorder="1"/>
    <xf numFmtId="0" fontId="42" fillId="25" borderId="28" xfId="0" applyFont="1" applyFill="1" applyBorder="1"/>
    <xf numFmtId="0" fontId="42" fillId="25" borderId="12" xfId="0" applyFont="1" applyFill="1" applyBorder="1"/>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11" fillId="0" borderId="21" xfId="34" applyFont="1" applyFill="1" applyBorder="1" applyAlignment="1" applyProtection="1"/>
    <xf numFmtId="0" fontId="11" fillId="0" borderId="21" xfId="34" applyFont="1" applyFill="1" applyBorder="1" applyAlignment="1" applyProtection="1">
      <alignment horizontal="left" indent="2"/>
    </xf>
    <xf numFmtId="0" fontId="11" fillId="0" borderId="0" xfId="34" applyAlignment="1" applyProtection="1">
      <alignment vertical="center"/>
    </xf>
    <xf numFmtId="165" fontId="13" fillId="0" borderId="0" xfId="0" applyNumberFormat="1" applyFont="1" applyFill="1" applyBorder="1" applyAlignment="1" applyProtection="1">
      <alignment horizontal="left" vertical="center"/>
      <protection locked="0"/>
    </xf>
    <xf numFmtId="0" fontId="43" fillId="25" borderId="12" xfId="38" applyFont="1" applyFill="1" applyBorder="1"/>
    <xf numFmtId="0" fontId="43" fillId="25" borderId="28" xfId="38" applyFont="1" applyFill="1" applyBorder="1"/>
    <xf numFmtId="170" fontId="43" fillId="25" borderId="46" xfId="51" applyNumberFormat="1" applyFont="1" applyFill="1" applyBorder="1"/>
    <xf numFmtId="170" fontId="43" fillId="25" borderId="48" xfId="51" applyNumberFormat="1" applyFont="1" applyFill="1" applyBorder="1"/>
    <xf numFmtId="0" fontId="43" fillId="25" borderId="40" xfId="38" applyFont="1" applyFill="1" applyBorder="1"/>
    <xf numFmtId="0" fontId="43" fillId="25" borderId="43" xfId="38" applyFont="1" applyFill="1" applyBorder="1"/>
    <xf numFmtId="0" fontId="43" fillId="25" borderId="42" xfId="38" applyFont="1" applyFill="1" applyBorder="1" applyAlignment="1">
      <alignment horizontal="center"/>
    </xf>
    <xf numFmtId="0" fontId="11" fillId="0" borderId="21" xfId="34" applyFill="1" applyBorder="1" applyAlignment="1" applyProtection="1"/>
    <xf numFmtId="164" fontId="43" fillId="25" borderId="43" xfId="45" applyNumberFormat="1" applyFont="1" applyFill="1" applyBorder="1" applyAlignment="1" applyProtection="1">
      <alignment horizontal="right" vertical="center"/>
      <protection locked="0"/>
    </xf>
    <xf numFmtId="0" fontId="14" fillId="25" borderId="30" xfId="0" applyFont="1" applyFill="1" applyBorder="1"/>
    <xf numFmtId="0" fontId="14" fillId="25" borderId="0" xfId="0" applyFont="1" applyFill="1" applyBorder="1"/>
    <xf numFmtId="164" fontId="43" fillId="25" borderId="30" xfId="45" applyNumberFormat="1" applyFont="1" applyFill="1" applyBorder="1"/>
    <xf numFmtId="164" fontId="43" fillId="25" borderId="38" xfId="45" applyNumberFormat="1" applyFont="1" applyFill="1" applyBorder="1"/>
    <xf numFmtId="0" fontId="43" fillId="25" borderId="41" xfId="0" applyFont="1" applyFill="1" applyBorder="1"/>
    <xf numFmtId="0" fontId="14" fillId="25" borderId="41" xfId="0" applyFont="1" applyFill="1" applyBorder="1"/>
    <xf numFmtId="164" fontId="43" fillId="25" borderId="41" xfId="45" applyNumberFormat="1" applyFont="1" applyFill="1" applyBorder="1"/>
    <xf numFmtId="165" fontId="43" fillId="25" borderId="41" xfId="0" applyNumberFormat="1" applyFont="1" applyFill="1" applyBorder="1" applyAlignment="1" applyProtection="1">
      <alignment horizontal="right" vertical="center"/>
      <protection locked="0"/>
    </xf>
    <xf numFmtId="164" fontId="43" fillId="25" borderId="42" xfId="45" applyNumberFormat="1" applyFont="1" applyFill="1" applyBorder="1"/>
    <xf numFmtId="165" fontId="14" fillId="25" borderId="41" xfId="0" applyNumberFormat="1" applyFont="1" applyFill="1" applyBorder="1" applyAlignment="1" applyProtection="1">
      <alignment horizontal="right" vertical="center"/>
      <protection locked="0"/>
    </xf>
    <xf numFmtId="165" fontId="14" fillId="25" borderId="42" xfId="0" applyNumberFormat="1" applyFont="1" applyFill="1" applyBorder="1" applyAlignment="1" applyProtection="1">
      <alignment horizontal="right" vertical="center"/>
      <protection locked="0"/>
    </xf>
    <xf numFmtId="176" fontId="43" fillId="25" borderId="40" xfId="45" applyNumberFormat="1" applyFont="1" applyFill="1" applyBorder="1" applyAlignment="1">
      <alignment horizontal="right" vertical="center"/>
    </xf>
    <xf numFmtId="176" fontId="43" fillId="25" borderId="41" xfId="45" applyNumberFormat="1" applyFont="1" applyFill="1" applyBorder="1" applyAlignment="1">
      <alignment horizontal="right" vertical="center"/>
    </xf>
    <xf numFmtId="176" fontId="43" fillId="25" borderId="42" xfId="45" applyNumberFormat="1" applyFont="1" applyFill="1" applyBorder="1" applyAlignment="1">
      <alignment horizontal="right" vertical="center"/>
    </xf>
    <xf numFmtId="0" fontId="43" fillId="0" borderId="0" xfId="0" applyFont="1"/>
    <xf numFmtId="165" fontId="43" fillId="25" borderId="42" xfId="0" applyNumberFormat="1" applyFont="1" applyFill="1" applyBorder="1" applyAlignment="1">
      <alignment horizontal="right" vertical="center"/>
    </xf>
    <xf numFmtId="165" fontId="43" fillId="25" borderId="48" xfId="0" applyNumberFormat="1" applyFont="1" applyFill="1" applyBorder="1" applyAlignment="1" applyProtection="1">
      <alignment horizontal="right" vertical="center"/>
      <protection locked="0"/>
    </xf>
    <xf numFmtId="165" fontId="43" fillId="25" borderId="43" xfId="0" applyNumberFormat="1" applyFont="1" applyFill="1" applyBorder="1" applyAlignment="1" applyProtection="1">
      <alignment horizontal="right" vertical="center"/>
      <protection locked="0"/>
    </xf>
    <xf numFmtId="164" fontId="43" fillId="25" borderId="42" xfId="45" applyNumberFormat="1" applyFont="1" applyFill="1" applyBorder="1" applyAlignment="1">
      <alignment horizontal="right" vertical="center"/>
    </xf>
    <xf numFmtId="170" fontId="43" fillId="25" borderId="42" xfId="0" applyNumberFormat="1" applyFont="1" applyFill="1" applyBorder="1" applyAlignment="1">
      <alignment horizontal="right" vertical="center"/>
    </xf>
    <xf numFmtId="164" fontId="0" fillId="0" borderId="0" xfId="45" applyNumberFormat="1" applyFont="1"/>
    <xf numFmtId="170" fontId="43" fillId="25" borderId="43" xfId="0" applyNumberFormat="1" applyFont="1" applyFill="1" applyBorder="1" applyAlignment="1">
      <alignment horizontal="right" vertical="center"/>
    </xf>
    <xf numFmtId="0" fontId="19" fillId="0" borderId="0" xfId="0" quotePrefix="1" applyFont="1" applyFill="1" applyAlignment="1">
      <alignment vertical="center"/>
    </xf>
    <xf numFmtId="2" fontId="15" fillId="27" borderId="1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9" fillId="0" borderId="11" xfId="38" applyFont="1" applyFill="1" applyBorder="1" applyAlignment="1">
      <alignment horizontal="left"/>
    </xf>
    <xf numFmtId="0" fontId="8" fillId="0" borderId="11" xfId="38" applyFont="1" applyFill="1" applyBorder="1" applyAlignment="1">
      <alignment horizontal="centerContinuous"/>
    </xf>
    <xf numFmtId="165" fontId="8" fillId="0" borderId="0" xfId="38" applyNumberFormat="1" applyFont="1" applyFill="1" applyAlignment="1" applyProtection="1">
      <alignment horizontal="right" vertical="center"/>
      <protection locked="0"/>
    </xf>
    <xf numFmtId="165" fontId="8" fillId="0" borderId="0" xfId="38" applyNumberFormat="1" applyFont="1" applyFill="1" applyBorder="1" applyAlignment="1" applyProtection="1">
      <alignment horizontal="right" vertical="center"/>
      <protection locked="0"/>
    </xf>
    <xf numFmtId="0" fontId="8" fillId="0" borderId="0" xfId="38" applyFont="1" applyFill="1" applyAlignment="1" applyProtection="1">
      <alignment vertical="center"/>
      <protection locked="0"/>
    </xf>
    <xf numFmtId="0" fontId="9" fillId="27" borderId="40" xfId="63" applyFont="1" applyFill="1" applyBorder="1" applyAlignment="1">
      <alignment horizontal="left" vertical="center"/>
    </xf>
    <xf numFmtId="0" fontId="13" fillId="27" borderId="41" xfId="63" applyFont="1" applyFill="1" applyBorder="1" applyAlignment="1">
      <alignment horizontal="left" vertical="top"/>
    </xf>
    <xf numFmtId="0" fontId="9" fillId="27" borderId="42" xfId="63" applyFont="1" applyFill="1" applyBorder="1" applyAlignment="1">
      <alignment horizontal="left" vertical="center"/>
    </xf>
    <xf numFmtId="0" fontId="10" fillId="27" borderId="28" xfId="63" applyFont="1" applyFill="1" applyBorder="1"/>
    <xf numFmtId="0" fontId="10" fillId="0" borderId="0" xfId="38" applyFont="1" applyFill="1" applyAlignment="1" applyProtection="1">
      <alignment vertical="center"/>
      <protection locked="0"/>
    </xf>
    <xf numFmtId="0" fontId="10" fillId="0" borderId="12" xfId="114" applyFont="1" applyFill="1" applyBorder="1"/>
    <xf numFmtId="0" fontId="13" fillId="0" borderId="0" xfId="114" applyFont="1" applyFill="1" applyBorder="1" applyAlignment="1">
      <alignment vertical="center"/>
    </xf>
    <xf numFmtId="0" fontId="13" fillId="0" borderId="21" xfId="114" applyFont="1" applyFill="1" applyBorder="1" applyAlignment="1">
      <alignment vertical="center"/>
    </xf>
    <xf numFmtId="165" fontId="13" fillId="0" borderId="0" xfId="38" applyNumberFormat="1" applyFont="1" applyFill="1" applyBorder="1" applyAlignment="1">
      <alignment horizontal="right" vertical="top"/>
    </xf>
    <xf numFmtId="165" fontId="13" fillId="0" borderId="21" xfId="38" applyNumberFormat="1" applyFont="1" applyFill="1" applyBorder="1" applyAlignment="1">
      <alignment horizontal="right" vertical="top"/>
    </xf>
    <xf numFmtId="0" fontId="10" fillId="0" borderId="0" xfId="114" applyFont="1" applyFill="1" applyBorder="1" applyAlignment="1">
      <alignment horizontal="left" vertical="center" indent="1"/>
    </xf>
    <xf numFmtId="0" fontId="10" fillId="0" borderId="21" xfId="114" applyFont="1" applyFill="1" applyBorder="1" applyAlignment="1">
      <alignment vertical="center"/>
    </xf>
    <xf numFmtId="165" fontId="10" fillId="0" borderId="0" xfId="38" applyNumberFormat="1" applyFont="1" applyFill="1" applyBorder="1" applyAlignment="1">
      <alignment horizontal="right" vertical="top"/>
    </xf>
    <xf numFmtId="165" fontId="10" fillId="0" borderId="21" xfId="38" applyNumberFormat="1" applyFont="1" applyFill="1" applyBorder="1" applyAlignment="1">
      <alignment horizontal="right" vertical="top"/>
    </xf>
    <xf numFmtId="0" fontId="8" fillId="0" borderId="12" xfId="114" applyFont="1" applyFill="1" applyBorder="1"/>
    <xf numFmtId="0" fontId="10" fillId="0" borderId="0" xfId="114" applyFont="1" applyFill="1" applyBorder="1" applyAlignment="1">
      <alignment horizontal="left" indent="1"/>
    </xf>
    <xf numFmtId="0" fontId="10" fillId="0" borderId="21" xfId="114" applyFont="1" applyFill="1" applyBorder="1"/>
    <xf numFmtId="0" fontId="9" fillId="0" borderId="12" xfId="114" applyFont="1" applyFill="1" applyBorder="1"/>
    <xf numFmtId="0" fontId="13" fillId="0" borderId="21" xfId="114" applyFont="1" applyFill="1" applyBorder="1"/>
    <xf numFmtId="0" fontId="8" fillId="0" borderId="28" xfId="114" applyFill="1" applyBorder="1"/>
    <xf numFmtId="0" fontId="13" fillId="0" borderId="11" xfId="114" applyFont="1" applyFill="1" applyBorder="1"/>
    <xf numFmtId="0" fontId="10" fillId="0" borderId="39" xfId="114" applyFont="1" applyFill="1" applyBorder="1"/>
    <xf numFmtId="0" fontId="8" fillId="0" borderId="0" xfId="38" applyFill="1"/>
    <xf numFmtId="0" fontId="19" fillId="0" borderId="0" xfId="114" quotePrefix="1" applyFont="1" applyFill="1" applyBorder="1" applyAlignment="1">
      <alignment vertical="center"/>
    </xf>
    <xf numFmtId="0" fontId="19" fillId="0" borderId="0" xfId="114" applyFont="1" applyFill="1" applyBorder="1" applyAlignment="1">
      <alignment vertical="center"/>
    </xf>
    <xf numFmtId="0" fontId="13" fillId="0" borderId="0" xfId="114" applyFont="1" applyFill="1" applyBorder="1"/>
    <xf numFmtId="0" fontId="9" fillId="0" borderId="0" xfId="114" applyFont="1" applyFill="1" applyBorder="1"/>
    <xf numFmtId="0" fontId="10" fillId="0" borderId="0" xfId="63" applyFont="1" applyFill="1" applyBorder="1"/>
    <xf numFmtId="0" fontId="13" fillId="0" borderId="0" xfId="63" applyFont="1" applyFill="1" applyBorder="1" applyAlignment="1">
      <alignment horizontal="left" vertical="top" wrapText="1"/>
    </xf>
    <xf numFmtId="2" fontId="15" fillId="0" borderId="0" xfId="63" applyNumberFormat="1" applyFont="1" applyFill="1" applyBorder="1" applyAlignment="1">
      <alignment horizontal="center" vertical="top" wrapText="1"/>
    </xf>
    <xf numFmtId="0" fontId="10" fillId="0" borderId="0" xfId="38" applyFont="1" applyFill="1" applyBorder="1" applyAlignment="1" applyProtection="1">
      <alignment vertical="center"/>
      <protection locked="0"/>
    </xf>
    <xf numFmtId="0" fontId="10" fillId="0" borderId="0" xfId="38" applyFont="1" applyFill="1"/>
    <xf numFmtId="165" fontId="10" fillId="0" borderId="0" xfId="38" applyNumberFormat="1" applyFont="1" applyFill="1" applyAlignment="1" applyProtection="1">
      <alignment horizontal="right" vertical="center"/>
      <protection locked="0"/>
    </xf>
    <xf numFmtId="0" fontId="75" fillId="0" borderId="0" xfId="115" applyAlignment="1" applyProtection="1">
      <alignment vertical="center"/>
      <protection locked="0"/>
    </xf>
    <xf numFmtId="165" fontId="10" fillId="0" borderId="0" xfId="38" applyNumberFormat="1" applyFont="1" applyFill="1" applyBorder="1" applyAlignment="1" applyProtection="1">
      <alignment horizontal="right" vertical="center"/>
      <protection locked="0"/>
    </xf>
    <xf numFmtId="0" fontId="42" fillId="25" borderId="40" xfId="38" applyFont="1" applyFill="1" applyBorder="1" applyAlignment="1">
      <alignment vertical="center"/>
    </xf>
    <xf numFmtId="165" fontId="42" fillId="25" borderId="41" xfId="38" applyNumberFormat="1" applyFont="1" applyFill="1" applyBorder="1" applyAlignment="1">
      <alignment horizontal="right" vertical="top"/>
    </xf>
    <xf numFmtId="165" fontId="42" fillId="25" borderId="42" xfId="38" applyNumberFormat="1" applyFont="1" applyFill="1" applyBorder="1" applyAlignment="1">
      <alignment horizontal="right" vertical="top"/>
    </xf>
    <xf numFmtId="43" fontId="63" fillId="0" borderId="0" xfId="38" applyNumberFormat="1" applyFont="1" applyFill="1"/>
    <xf numFmtId="165" fontId="42" fillId="25" borderId="41" xfId="38" quotePrefix="1" applyNumberFormat="1" applyFont="1" applyFill="1" applyBorder="1" applyAlignment="1">
      <alignment horizontal="right" vertical="top"/>
    </xf>
    <xf numFmtId="0" fontId="13" fillId="27" borderId="40" xfId="0" applyFont="1" applyFill="1" applyBorder="1" applyAlignment="1">
      <alignment horizontal="justify" vertical="center" wrapText="1"/>
    </xf>
    <xf numFmtId="0" fontId="13" fillId="27" borderId="41" xfId="0" applyFont="1" applyFill="1" applyBorder="1" applyAlignment="1">
      <alignment horizontal="justify" vertical="center" wrapText="1"/>
    </xf>
    <xf numFmtId="0" fontId="13" fillId="27" borderId="42" xfId="0" applyFont="1" applyFill="1" applyBorder="1" applyAlignment="1">
      <alignment horizontal="justify" vertical="center" wrapText="1"/>
    </xf>
    <xf numFmtId="0" fontId="14" fillId="0" borderId="12" xfId="0" applyFont="1" applyFill="1" applyBorder="1" applyAlignment="1">
      <alignment horizontal="justify" vertical="center"/>
    </xf>
    <xf numFmtId="0" fontId="14" fillId="0" borderId="0" xfId="0" applyFont="1" applyFill="1" applyBorder="1" applyAlignment="1">
      <alignment horizontal="justify" vertical="center"/>
    </xf>
    <xf numFmtId="0" fontId="14" fillId="0" borderId="21" xfId="0" applyFont="1" applyFill="1" applyBorder="1" applyAlignment="1">
      <alignment horizontal="justify"/>
    </xf>
    <xf numFmtId="0" fontId="14" fillId="0" borderId="12" xfId="0" applyFont="1" applyFill="1" applyBorder="1" applyAlignment="1">
      <alignment horizontal="justify"/>
    </xf>
    <xf numFmtId="0" fontId="14" fillId="0" borderId="0" xfId="0" applyFont="1" applyFill="1" applyBorder="1" applyAlignment="1">
      <alignment horizontal="justify"/>
    </xf>
    <xf numFmtId="0" fontId="14" fillId="0" borderId="21" xfId="0" quotePrefix="1" applyFont="1" applyFill="1" applyBorder="1" applyAlignment="1">
      <alignment horizontal="justify" vertical="center"/>
    </xf>
    <xf numFmtId="0" fontId="14" fillId="0" borderId="28" xfId="0" applyFont="1" applyFill="1" applyBorder="1" applyAlignment="1">
      <alignment horizontal="justify"/>
    </xf>
    <xf numFmtId="0" fontId="14" fillId="0" borderId="11" xfId="0" applyFont="1" applyFill="1" applyBorder="1" applyAlignment="1">
      <alignment horizontal="justify"/>
    </xf>
    <xf numFmtId="0" fontId="10" fillId="0" borderId="39" xfId="0" quotePrefix="1" applyFont="1" applyFill="1" applyBorder="1" applyAlignment="1">
      <alignment horizontal="justify" vertical="center"/>
    </xf>
    <xf numFmtId="0" fontId="13" fillId="0" borderId="28" xfId="0" applyFont="1" applyFill="1" applyBorder="1" applyAlignment="1">
      <alignment horizontal="justify"/>
    </xf>
    <xf numFmtId="0" fontId="13" fillId="0" borderId="11" xfId="0" applyFont="1" applyFill="1" applyBorder="1" applyAlignment="1">
      <alignment horizontal="justify"/>
    </xf>
    <xf numFmtId="0" fontId="13" fillId="0" borderId="39" xfId="0" quotePrefix="1" applyFont="1" applyFill="1" applyBorder="1" applyAlignment="1">
      <alignment horizontal="justify" vertical="center"/>
    </xf>
    <xf numFmtId="0" fontId="13" fillId="0" borderId="11" xfId="0" quotePrefix="1" applyFont="1" applyFill="1" applyBorder="1" applyAlignment="1">
      <alignment horizontal="justify" vertical="center"/>
    </xf>
    <xf numFmtId="165" fontId="13" fillId="0" borderId="11" xfId="38" quotePrefix="1" applyNumberFormat="1" applyFont="1" applyFill="1" applyBorder="1" applyAlignment="1">
      <alignment horizontal="right" vertical="top"/>
    </xf>
    <xf numFmtId="165" fontId="13" fillId="0" borderId="0" xfId="38" quotePrefix="1" applyNumberFormat="1" applyFont="1" applyFill="1" applyBorder="1" applyAlignment="1">
      <alignment horizontal="right" vertical="top"/>
    </xf>
    <xf numFmtId="176" fontId="13" fillId="0" borderId="0" xfId="38" applyNumberFormat="1" applyFont="1" applyFill="1" applyBorder="1" applyAlignment="1">
      <alignment horizontal="right" vertical="top"/>
    </xf>
    <xf numFmtId="176" fontId="13" fillId="0" borderId="21" xfId="38" applyNumberFormat="1" applyFont="1" applyFill="1" applyBorder="1" applyAlignment="1">
      <alignment horizontal="right" vertical="top"/>
    </xf>
    <xf numFmtId="176" fontId="10" fillId="0" borderId="0" xfId="38" applyNumberFormat="1" applyFont="1" applyFill="1" applyBorder="1" applyAlignment="1">
      <alignment horizontal="right" vertical="top"/>
    </xf>
    <xf numFmtId="176" fontId="10" fillId="0" borderId="21" xfId="38" applyNumberFormat="1" applyFont="1" applyFill="1" applyBorder="1" applyAlignment="1">
      <alignment horizontal="right" vertical="top"/>
    </xf>
    <xf numFmtId="176" fontId="13" fillId="0" borderId="11" xfId="38" applyNumberFormat="1" applyFont="1" applyFill="1" applyBorder="1" applyAlignment="1">
      <alignment horizontal="right" vertical="top"/>
    </xf>
    <xf numFmtId="176" fontId="13" fillId="0" borderId="39" xfId="38" applyNumberFormat="1" applyFont="1" applyFill="1" applyBorder="1" applyAlignment="1">
      <alignment horizontal="right" vertical="top"/>
    </xf>
    <xf numFmtId="176" fontId="13" fillId="0" borderId="11" xfId="38" quotePrefix="1" applyNumberFormat="1" applyFont="1" applyFill="1" applyBorder="1" applyAlignment="1">
      <alignment horizontal="right" vertical="top"/>
    </xf>
    <xf numFmtId="184" fontId="10" fillId="0" borderId="0" xfId="45" applyNumberFormat="1" applyFont="1" applyFill="1" applyBorder="1" applyAlignment="1">
      <alignment vertical="top"/>
    </xf>
    <xf numFmtId="184" fontId="14" fillId="0" borderId="0" xfId="45" applyNumberFormat="1" applyFont="1" applyFill="1" applyBorder="1" applyAlignment="1">
      <alignment vertical="top"/>
    </xf>
    <xf numFmtId="184" fontId="14" fillId="0" borderId="21" xfId="45" applyNumberFormat="1" applyFont="1" applyFill="1" applyBorder="1" applyAlignment="1">
      <alignment vertical="top"/>
    </xf>
    <xf numFmtId="184" fontId="14" fillId="0" borderId="11" xfId="45" applyNumberFormat="1" applyFont="1" applyFill="1" applyBorder="1" applyAlignment="1">
      <alignment vertical="top"/>
    </xf>
    <xf numFmtId="184" fontId="14" fillId="0" borderId="39" xfId="45" applyNumberFormat="1" applyFont="1" applyFill="1" applyBorder="1" applyAlignment="1">
      <alignment vertical="top"/>
    </xf>
    <xf numFmtId="184" fontId="13" fillId="0" borderId="11" xfId="45" applyNumberFormat="1" applyFont="1" applyFill="1" applyBorder="1" applyAlignment="1">
      <alignment vertical="top"/>
    </xf>
    <xf numFmtId="184" fontId="13" fillId="0" borderId="39" xfId="45" applyNumberFormat="1" applyFont="1" applyFill="1" applyBorder="1" applyAlignment="1">
      <alignment vertical="top"/>
    </xf>
    <xf numFmtId="184" fontId="13" fillId="0" borderId="32" xfId="45" applyNumberFormat="1" applyFont="1" applyFill="1" applyBorder="1" applyAlignment="1">
      <alignment vertical="top"/>
    </xf>
    <xf numFmtId="0" fontId="11" fillId="0" borderId="39" xfId="34" applyFill="1" applyBorder="1" applyAlignment="1" applyProtection="1">
      <alignment horizontal="left" indent="2"/>
    </xf>
    <xf numFmtId="170" fontId="43" fillId="25" borderId="43" xfId="51" applyNumberFormat="1" applyFont="1" applyFill="1" applyBorder="1"/>
    <xf numFmtId="165" fontId="14" fillId="0" borderId="46" xfId="0" applyNumberFormat="1" applyFont="1" applyFill="1" applyBorder="1" applyAlignment="1" applyProtection="1">
      <alignment horizontal="right" vertical="center"/>
      <protection locked="0"/>
    </xf>
    <xf numFmtId="167" fontId="14" fillId="0" borderId="48" xfId="45" applyNumberFormat="1" applyFont="1" applyFill="1" applyBorder="1" applyAlignment="1">
      <alignment vertical="center"/>
    </xf>
    <xf numFmtId="0" fontId="0" fillId="0" borderId="46" xfId="0" applyFill="1" applyBorder="1" applyAlignment="1">
      <alignment vertical="center"/>
    </xf>
    <xf numFmtId="167" fontId="14" fillId="0" borderId="46" xfId="45" applyNumberFormat="1" applyFont="1" applyFill="1" applyBorder="1" applyAlignment="1">
      <alignment vertical="center"/>
    </xf>
    <xf numFmtId="167" fontId="14" fillId="0" borderId="46" xfId="45" quotePrefix="1" applyNumberFormat="1" applyFont="1" applyFill="1" applyBorder="1" applyAlignment="1">
      <alignment horizontal="center" vertical="center"/>
    </xf>
    <xf numFmtId="167" fontId="14" fillId="0" borderId="48" xfId="45" quotePrefix="1" applyNumberFormat="1" applyFont="1" applyFill="1" applyBorder="1" applyAlignment="1">
      <alignment horizontal="center" vertical="center"/>
    </xf>
    <xf numFmtId="187" fontId="14" fillId="0" borderId="0" xfId="0" quotePrefix="1" applyNumberFormat="1" applyFont="1" applyFill="1" applyBorder="1" applyAlignment="1">
      <alignment horizontal="center" vertical="center"/>
    </xf>
    <xf numFmtId="187" fontId="14" fillId="0" borderId="0" xfId="0" applyNumberFormat="1" applyFont="1" applyFill="1" applyBorder="1" applyAlignment="1">
      <alignment horizontal="right" vertical="center"/>
    </xf>
    <xf numFmtId="187" fontId="14" fillId="0" borderId="11" xfId="0" applyNumberFormat="1" applyFont="1" applyFill="1" applyBorder="1" applyAlignment="1">
      <alignment horizontal="right" vertical="center"/>
    </xf>
    <xf numFmtId="187" fontId="14" fillId="0" borderId="21" xfId="0" applyNumberFormat="1" applyFont="1" applyFill="1" applyBorder="1" applyAlignment="1">
      <alignment horizontal="right" vertical="center"/>
    </xf>
    <xf numFmtId="187" fontId="14" fillId="0" borderId="39" xfId="0" quotePrefix="1" applyNumberFormat="1" applyFont="1" applyFill="1" applyBorder="1" applyAlignment="1">
      <alignment horizontal="center" vertical="center"/>
    </xf>
    <xf numFmtId="187" fontId="14" fillId="0" borderId="39" xfId="0" applyNumberFormat="1" applyFont="1" applyFill="1" applyBorder="1" applyAlignment="1">
      <alignment horizontal="center" vertical="center"/>
    </xf>
    <xf numFmtId="0" fontId="54" fillId="0" borderId="40" xfId="53" applyFont="1" applyFill="1" applyBorder="1"/>
    <xf numFmtId="0" fontId="54" fillId="0" borderId="41" xfId="53" applyFont="1" applyFill="1" applyBorder="1"/>
    <xf numFmtId="0" fontId="55" fillId="0" borderId="43" xfId="53" applyFont="1" applyFill="1" applyBorder="1"/>
    <xf numFmtId="0" fontId="55" fillId="0" borderId="43" xfId="53" applyFont="1" applyFill="1" applyBorder="1" applyAlignment="1">
      <alignment wrapText="1"/>
    </xf>
    <xf numFmtId="171" fontId="55" fillId="0" borderId="43" xfId="53" applyNumberFormat="1" applyFont="1" applyFill="1" applyBorder="1" applyAlignment="1">
      <alignment wrapText="1"/>
    </xf>
    <xf numFmtId="0" fontId="54" fillId="0" borderId="12" xfId="53" applyFont="1" applyFill="1" applyBorder="1"/>
    <xf numFmtId="172" fontId="54" fillId="0" borderId="0" xfId="53" applyNumberFormat="1" applyFont="1" applyFill="1" applyBorder="1"/>
    <xf numFmtId="0" fontId="54" fillId="0" borderId="0" xfId="53" applyFont="1" applyFill="1" applyBorder="1"/>
    <xf numFmtId="0" fontId="54" fillId="0" borderId="12" xfId="53" applyFont="1" applyFill="1" applyBorder="1" applyAlignment="1">
      <alignment horizontal="center"/>
    </xf>
    <xf numFmtId="0" fontId="54" fillId="0" borderId="46" xfId="53" applyFont="1" applyFill="1" applyBorder="1"/>
    <xf numFmtId="173" fontId="54" fillId="0" borderId="0" xfId="53" applyNumberFormat="1" applyFont="1" applyFill="1" applyBorder="1"/>
    <xf numFmtId="173" fontId="54" fillId="0" borderId="46" xfId="53" applyNumberFormat="1" applyFont="1" applyFill="1" applyBorder="1"/>
    <xf numFmtId="164" fontId="10" fillId="0" borderId="46" xfId="55" applyNumberFormat="1" applyFont="1" applyFill="1" applyBorder="1"/>
    <xf numFmtId="0" fontId="54" fillId="0" borderId="46" xfId="53" applyFont="1" applyFill="1" applyBorder="1" applyAlignment="1">
      <alignment horizontal="center"/>
    </xf>
    <xf numFmtId="49" fontId="54" fillId="0" borderId="12" xfId="53" applyNumberFormat="1" applyFont="1" applyFill="1" applyBorder="1"/>
    <xf numFmtId="49" fontId="54" fillId="0" borderId="28" xfId="53" applyNumberFormat="1" applyFont="1" applyFill="1" applyBorder="1"/>
    <xf numFmtId="172" fontId="54" fillId="0" borderId="11" xfId="53" applyNumberFormat="1" applyFont="1" applyFill="1" applyBorder="1"/>
    <xf numFmtId="0" fontId="54" fillId="0" borderId="11" xfId="53" applyFont="1" applyFill="1" applyBorder="1"/>
    <xf numFmtId="0" fontId="54" fillId="0" borderId="48" xfId="53" applyFont="1" applyFill="1" applyBorder="1" applyAlignment="1">
      <alignment horizontal="center"/>
    </xf>
    <xf numFmtId="164" fontId="10" fillId="0" borderId="48" xfId="55" applyNumberFormat="1" applyFont="1" applyFill="1" applyBorder="1"/>
    <xf numFmtId="173" fontId="54" fillId="0" borderId="48" xfId="53" applyNumberFormat="1" applyFont="1" applyFill="1" applyBorder="1"/>
    <xf numFmtId="0" fontId="53" fillId="0" borderId="12" xfId="53" applyFont="1" applyFill="1" applyBorder="1"/>
    <xf numFmtId="0" fontId="53" fillId="0" borderId="0" xfId="53" applyFont="1" applyFill="1" applyBorder="1"/>
    <xf numFmtId="0" fontId="53" fillId="0" borderId="21" xfId="53" applyFont="1" applyFill="1" applyBorder="1"/>
    <xf numFmtId="170" fontId="53" fillId="0" borderId="0" xfId="51" applyNumberFormat="1" applyFont="1" applyFill="1" applyBorder="1"/>
    <xf numFmtId="173" fontId="53" fillId="0" borderId="0" xfId="53" applyNumberFormat="1" applyFont="1" applyFill="1" applyBorder="1"/>
    <xf numFmtId="0" fontId="53" fillId="0" borderId="28" xfId="53" applyFont="1" applyFill="1" applyBorder="1"/>
    <xf numFmtId="0" fontId="53" fillId="0" borderId="11" xfId="53" applyFont="1" applyFill="1" applyBorder="1"/>
    <xf numFmtId="173" fontId="53" fillId="0" borderId="11" xfId="53" applyNumberFormat="1" applyFont="1" applyFill="1" applyBorder="1"/>
    <xf numFmtId="9" fontId="10" fillId="0" borderId="11" xfId="55" applyFont="1" applyFill="1" applyBorder="1"/>
    <xf numFmtId="0" fontId="53" fillId="0" borderId="39" xfId="53" applyFont="1" applyFill="1" applyBorder="1"/>
    <xf numFmtId="0" fontId="55" fillId="0" borderId="40" xfId="72" applyFont="1" applyFill="1" applyBorder="1"/>
    <xf numFmtId="0" fontId="54" fillId="0" borderId="41" xfId="72" applyFont="1" applyFill="1" applyBorder="1"/>
    <xf numFmtId="0" fontId="55" fillId="0" borderId="41" xfId="72" applyFont="1" applyFill="1" applyBorder="1"/>
    <xf numFmtId="0" fontId="55" fillId="0" borderId="42" xfId="72" applyFont="1" applyFill="1" applyBorder="1"/>
    <xf numFmtId="0" fontId="54" fillId="0" borderId="43" xfId="72" applyFont="1" applyFill="1" applyBorder="1"/>
    <xf numFmtId="0" fontId="55" fillId="0" borderId="43" xfId="72" applyFont="1" applyFill="1" applyBorder="1"/>
    <xf numFmtId="0" fontId="54" fillId="0" borderId="47" xfId="72" applyFont="1" applyFill="1" applyBorder="1"/>
    <xf numFmtId="170" fontId="10" fillId="0" borderId="47" xfId="51" applyNumberFormat="1" applyFont="1" applyFill="1" applyBorder="1"/>
    <xf numFmtId="170" fontId="54" fillId="0" borderId="47" xfId="51" applyNumberFormat="1" applyFont="1" applyFill="1" applyBorder="1"/>
    <xf numFmtId="0" fontId="54" fillId="0" borderId="46" xfId="72" applyFont="1" applyFill="1" applyBorder="1"/>
    <xf numFmtId="170" fontId="54" fillId="0" borderId="46" xfId="51" applyNumberFormat="1" applyFont="1" applyFill="1" applyBorder="1"/>
    <xf numFmtId="164" fontId="10" fillId="0" borderId="46" xfId="73" applyNumberFormat="1" applyFont="1" applyFill="1" applyBorder="1"/>
    <xf numFmtId="170" fontId="13" fillId="0" borderId="43" xfId="51" applyNumberFormat="1" applyFont="1" applyFill="1" applyBorder="1"/>
    <xf numFmtId="170" fontId="55" fillId="0" borderId="43" xfId="51" applyNumberFormat="1" applyFont="1" applyFill="1" applyBorder="1"/>
    <xf numFmtId="164" fontId="13" fillId="0" borderId="43" xfId="73" applyNumberFormat="1" applyFont="1" applyFill="1" applyBorder="1"/>
    <xf numFmtId="164" fontId="54" fillId="0" borderId="46" xfId="45" applyNumberFormat="1" applyFont="1" applyFill="1" applyBorder="1"/>
    <xf numFmtId="0" fontId="54" fillId="0" borderId="48" xfId="72" applyFont="1" applyFill="1" applyBorder="1"/>
    <xf numFmtId="164" fontId="54" fillId="0" borderId="48" xfId="45" applyNumberFormat="1" applyFont="1" applyFill="1" applyBorder="1"/>
    <xf numFmtId="164" fontId="54" fillId="0" borderId="47" xfId="72" applyNumberFormat="1" applyFont="1" applyFill="1" applyBorder="1"/>
    <xf numFmtId="164" fontId="54" fillId="0" borderId="46" xfId="72" applyNumberFormat="1" applyFont="1" applyFill="1" applyBorder="1"/>
    <xf numFmtId="164" fontId="54" fillId="0" borderId="48" xfId="72" applyNumberFormat="1" applyFont="1" applyFill="1" applyBorder="1"/>
    <xf numFmtId="2" fontId="15" fillId="27" borderId="47" xfId="0" applyNumberFormat="1" applyFont="1" applyFill="1" applyBorder="1" applyAlignment="1">
      <alignment horizontal="center" vertical="top" wrapText="1"/>
    </xf>
    <xf numFmtId="2" fontId="15" fillId="27" borderId="46" xfId="0" applyNumberFormat="1" applyFont="1" applyFill="1" applyBorder="1" applyAlignment="1">
      <alignment horizontal="center" vertical="top" wrapText="1"/>
    </xf>
    <xf numFmtId="2" fontId="15" fillId="27" borderId="48" xfId="0" applyNumberFormat="1" applyFont="1" applyFill="1" applyBorder="1" applyAlignment="1">
      <alignment horizontal="center" vertical="top" wrapText="1"/>
    </xf>
    <xf numFmtId="0" fontId="10" fillId="0" borderId="38" xfId="0" applyFont="1" applyFill="1" applyBorder="1" applyAlignment="1">
      <alignment horizontal="left" vertical="center" wrapText="1"/>
    </xf>
    <xf numFmtId="0" fontId="10" fillId="0" borderId="21" xfId="0" applyFont="1" applyFill="1" applyBorder="1" applyAlignment="1">
      <alignment horizontal="left" vertical="center" wrapText="1"/>
    </xf>
    <xf numFmtId="2" fontId="15" fillId="27" borderId="38" xfId="0" applyNumberFormat="1" applyFont="1" applyFill="1" applyBorder="1" applyAlignment="1">
      <alignment horizontal="left" wrapText="1"/>
    </xf>
    <xf numFmtId="2" fontId="15" fillId="27" borderId="21" xfId="0" applyNumberFormat="1" applyFont="1" applyFill="1" applyBorder="1" applyAlignment="1">
      <alignment horizontal="left" wrapText="1"/>
    </xf>
    <xf numFmtId="2" fontId="15" fillId="27" borderId="39" xfId="0" applyNumberFormat="1" applyFont="1" applyFill="1" applyBorder="1" applyAlignment="1">
      <alignment horizontal="left" wrapText="1"/>
    </xf>
    <xf numFmtId="1" fontId="15" fillId="27" borderId="29" xfId="0" quotePrefix="1" applyNumberFormat="1" applyFont="1" applyFill="1" applyBorder="1" applyAlignment="1">
      <alignment horizontal="center" vertical="top"/>
    </xf>
    <xf numFmtId="1" fontId="15" fillId="27" borderId="30" xfId="0" applyNumberFormat="1" applyFont="1" applyFill="1" applyBorder="1" applyAlignment="1">
      <alignment horizontal="center" vertical="top"/>
    </xf>
    <xf numFmtId="1" fontId="15" fillId="27" borderId="38" xfId="0" applyNumberFormat="1" applyFont="1" applyFill="1" applyBorder="1" applyAlignment="1">
      <alignment horizontal="center" vertical="top"/>
    </xf>
    <xf numFmtId="1" fontId="15" fillId="27" borderId="12" xfId="0" applyNumberFormat="1" applyFont="1" applyFill="1" applyBorder="1" applyAlignment="1">
      <alignment horizontal="center" vertical="top"/>
    </xf>
    <xf numFmtId="1" fontId="15" fillId="27" borderId="0" xfId="0" applyNumberFormat="1" applyFont="1" applyFill="1" applyBorder="1" applyAlignment="1">
      <alignment horizontal="center" vertical="top"/>
    </xf>
    <xf numFmtId="1" fontId="15" fillId="27" borderId="21" xfId="0" applyNumberFormat="1" applyFont="1" applyFill="1" applyBorder="1" applyAlignment="1">
      <alignment horizontal="center" vertical="top"/>
    </xf>
    <xf numFmtId="1" fontId="15" fillId="27" borderId="28" xfId="0" applyNumberFormat="1" applyFont="1" applyFill="1" applyBorder="1" applyAlignment="1">
      <alignment horizontal="center" vertical="top"/>
    </xf>
    <xf numFmtId="1" fontId="15" fillId="27" borderId="11" xfId="0" applyNumberFormat="1" applyFont="1" applyFill="1" applyBorder="1" applyAlignment="1">
      <alignment horizontal="center" vertical="top"/>
    </xf>
    <xf numFmtId="1" fontId="15" fillId="27" borderId="39" xfId="0" applyNumberFormat="1" applyFont="1" applyFill="1" applyBorder="1" applyAlignment="1">
      <alignment horizontal="center" vertical="top"/>
    </xf>
    <xf numFmtId="0" fontId="46" fillId="25" borderId="12" xfId="53" applyFont="1" applyFill="1" applyBorder="1" applyAlignment="1">
      <alignment horizontal="center"/>
    </xf>
    <xf numFmtId="0" fontId="46" fillId="25" borderId="0" xfId="53" applyFont="1" applyFill="1" applyBorder="1" applyAlignment="1">
      <alignment horizontal="center"/>
    </xf>
    <xf numFmtId="0" fontId="46" fillId="25" borderId="21" xfId="53" applyFont="1" applyFill="1" applyBorder="1" applyAlignment="1">
      <alignment horizontal="center"/>
    </xf>
    <xf numFmtId="0" fontId="55" fillId="27" borderId="30" xfId="53" applyFont="1" applyFill="1" applyBorder="1" applyAlignment="1">
      <alignment horizontal="center" vertical="top"/>
    </xf>
    <xf numFmtId="0" fontId="55" fillId="27" borderId="0" xfId="53" applyFont="1" applyFill="1" applyBorder="1" applyAlignment="1">
      <alignment horizontal="center" vertical="top"/>
    </xf>
    <xf numFmtId="0" fontId="55" fillId="27" borderId="11" xfId="53" applyFont="1" applyFill="1" applyBorder="1" applyAlignment="1">
      <alignment horizontal="center" vertical="top"/>
    </xf>
    <xf numFmtId="0" fontId="46" fillId="25" borderId="40" xfId="53" applyFont="1" applyFill="1" applyBorder="1" applyAlignment="1">
      <alignment horizontal="center"/>
    </xf>
    <xf numFmtId="0" fontId="46" fillId="25" borderId="41" xfId="53" applyFont="1" applyFill="1" applyBorder="1" applyAlignment="1">
      <alignment horizontal="center"/>
    </xf>
    <xf numFmtId="0" fontId="46" fillId="25" borderId="42" xfId="53" applyFont="1" applyFill="1" applyBorder="1" applyAlignment="1">
      <alignment horizontal="center"/>
    </xf>
    <xf numFmtId="0" fontId="55" fillId="27" borderId="41" xfId="53" applyFont="1" applyFill="1" applyBorder="1" applyAlignment="1">
      <alignment horizontal="center" vertical="center"/>
    </xf>
    <xf numFmtId="0" fontId="55" fillId="27" borderId="42" xfId="53" applyFont="1" applyFill="1" applyBorder="1" applyAlignment="1">
      <alignment horizontal="center" vertical="center"/>
    </xf>
    <xf numFmtId="0" fontId="55" fillId="27" borderId="30" xfId="53" applyFont="1" applyFill="1" applyBorder="1" applyAlignment="1">
      <alignment horizontal="center" vertical="top" wrapText="1"/>
    </xf>
    <xf numFmtId="0" fontId="55" fillId="27" borderId="11" xfId="53" applyFont="1" applyFill="1" applyBorder="1" applyAlignment="1">
      <alignment horizontal="center" vertical="top" wrapText="1"/>
    </xf>
    <xf numFmtId="0" fontId="55" fillId="27" borderId="38" xfId="53" applyFont="1" applyFill="1" applyBorder="1" applyAlignment="1">
      <alignment horizontal="center" vertical="top" wrapText="1"/>
    </xf>
    <xf numFmtId="0" fontId="55" fillId="27" borderId="39" xfId="53" applyFont="1" applyFill="1" applyBorder="1" applyAlignment="1">
      <alignment horizontal="center" vertical="top" wrapText="1"/>
    </xf>
    <xf numFmtId="0" fontId="55" fillId="27" borderId="21" xfId="53" applyFont="1" applyFill="1" applyBorder="1" applyAlignment="1">
      <alignment horizontal="center" vertical="top" wrapText="1"/>
    </xf>
    <xf numFmtId="0" fontId="55" fillId="27" borderId="29" xfId="53" applyFont="1" applyFill="1" applyBorder="1" applyAlignment="1">
      <alignment horizontal="center" vertical="top" wrapText="1"/>
    </xf>
    <xf numFmtId="0" fontId="55" fillId="27" borderId="12" xfId="53" applyFont="1" applyFill="1" applyBorder="1" applyAlignment="1">
      <alignment horizontal="center" vertical="top" wrapText="1"/>
    </xf>
    <xf numFmtId="0" fontId="55" fillId="27" borderId="0" xfId="53" applyFont="1" applyFill="1" applyBorder="1" applyAlignment="1">
      <alignment horizontal="center" vertical="top" wrapText="1"/>
    </xf>
    <xf numFmtId="0" fontId="55" fillId="27" borderId="28" xfId="53" applyFont="1" applyFill="1" applyBorder="1" applyAlignment="1">
      <alignment horizontal="center" vertical="top" wrapText="1"/>
    </xf>
    <xf numFmtId="2" fontId="15" fillId="27" borderId="29" xfId="38" applyNumberFormat="1" applyFont="1" applyFill="1" applyBorder="1" applyAlignment="1">
      <alignment horizontal="center" vertical="top" wrapText="1"/>
    </xf>
    <xf numFmtId="2" fontId="15" fillId="27" borderId="12" xfId="38" applyNumberFormat="1" applyFont="1" applyFill="1" applyBorder="1" applyAlignment="1">
      <alignment horizontal="center" vertical="top" wrapText="1"/>
    </xf>
    <xf numFmtId="2" fontId="15" fillId="27" borderId="28" xfId="38" applyNumberFormat="1" applyFont="1" applyFill="1" applyBorder="1" applyAlignment="1">
      <alignment horizontal="center" vertical="top" wrapText="1"/>
    </xf>
    <xf numFmtId="2" fontId="15" fillId="27" borderId="38" xfId="38" applyNumberFormat="1" applyFont="1" applyFill="1" applyBorder="1" applyAlignment="1">
      <alignment horizontal="center" vertical="top" wrapText="1"/>
    </xf>
    <xf numFmtId="2" fontId="15" fillId="27" borderId="21" xfId="38" applyNumberFormat="1" applyFont="1" applyFill="1" applyBorder="1" applyAlignment="1">
      <alignment horizontal="center" vertical="top" wrapText="1"/>
    </xf>
    <xf numFmtId="2" fontId="15" fillId="27" borderId="39" xfId="38" applyNumberFormat="1" applyFont="1" applyFill="1" applyBorder="1" applyAlignment="1">
      <alignment horizontal="center" vertical="top" wrapText="1"/>
    </xf>
    <xf numFmtId="2" fontId="15" fillId="27" borderId="47" xfId="38" applyNumberFormat="1" applyFont="1" applyFill="1" applyBorder="1" applyAlignment="1">
      <alignment horizontal="center" vertical="top" wrapText="1"/>
    </xf>
    <xf numFmtId="2" fontId="15" fillId="27" borderId="46" xfId="38" applyNumberFormat="1" applyFont="1" applyFill="1" applyBorder="1" applyAlignment="1">
      <alignment horizontal="center" vertical="top" wrapText="1"/>
    </xf>
    <xf numFmtId="2" fontId="15" fillId="27" borderId="48" xfId="38" applyNumberFormat="1" applyFont="1" applyFill="1" applyBorder="1" applyAlignment="1">
      <alignment horizontal="center" vertical="top" wrapText="1"/>
    </xf>
    <xf numFmtId="0" fontId="13" fillId="27" borderId="21" xfId="38" applyFont="1" applyFill="1" applyBorder="1" applyAlignment="1">
      <alignment horizontal="left" wrapText="1"/>
    </xf>
    <xf numFmtId="0" fontId="13" fillId="27" borderId="39" xfId="38" applyFont="1" applyFill="1" applyBorder="1" applyAlignment="1">
      <alignment horizontal="left" wrapText="1"/>
    </xf>
    <xf numFmtId="2" fontId="15" fillId="27" borderId="38" xfId="49" applyNumberFormat="1" applyFont="1" applyFill="1" applyBorder="1" applyAlignment="1">
      <alignment horizontal="center" vertical="top" wrapText="1"/>
    </xf>
    <xf numFmtId="2" fontId="15" fillId="27" borderId="21" xfId="49" applyNumberFormat="1" applyFont="1" applyFill="1" applyBorder="1" applyAlignment="1">
      <alignment horizontal="center" vertical="top" wrapText="1"/>
    </xf>
    <xf numFmtId="2" fontId="15" fillId="27" borderId="39" xfId="49" applyNumberFormat="1" applyFont="1" applyFill="1" applyBorder="1" applyAlignment="1">
      <alignment horizontal="center" vertical="top" wrapText="1"/>
    </xf>
    <xf numFmtId="0" fontId="13" fillId="27" borderId="38" xfId="49" applyFont="1" applyFill="1" applyBorder="1" applyAlignment="1">
      <alignment horizontal="left" wrapText="1"/>
    </xf>
    <xf numFmtId="0" fontId="13" fillId="27" borderId="21" xfId="49" applyFont="1" applyFill="1" applyBorder="1" applyAlignment="1">
      <alignment horizontal="left" wrapText="1"/>
    </xf>
    <xf numFmtId="0" fontId="13" fillId="27" borderId="39" xfId="49" applyFont="1" applyFill="1" applyBorder="1" applyAlignment="1">
      <alignment horizontal="left" wrapText="1"/>
    </xf>
    <xf numFmtId="2" fontId="15" fillId="27" borderId="29" xfId="49" applyNumberFormat="1" applyFont="1" applyFill="1" applyBorder="1" applyAlignment="1">
      <alignment horizontal="center" vertical="top"/>
    </xf>
    <xf numFmtId="2" fontId="15" fillId="27" borderId="12" xfId="49" applyNumberFormat="1" applyFont="1" applyFill="1" applyBorder="1" applyAlignment="1">
      <alignment horizontal="center" vertical="top"/>
    </xf>
    <xf numFmtId="2" fontId="15" fillId="27" borderId="28" xfId="49" applyNumberFormat="1" applyFont="1" applyFill="1" applyBorder="1" applyAlignment="1">
      <alignment horizontal="center" vertical="top"/>
    </xf>
    <xf numFmtId="2" fontId="15" fillId="27" borderId="29" xfId="49" applyNumberFormat="1" applyFont="1" applyFill="1" applyBorder="1" applyAlignment="1">
      <alignment horizontal="center" vertical="top" wrapText="1"/>
    </xf>
    <xf numFmtId="2" fontId="15" fillId="27" borderId="12" xfId="49" applyNumberFormat="1" applyFont="1" applyFill="1" applyBorder="1" applyAlignment="1">
      <alignment horizontal="center" vertical="top" wrapText="1"/>
    </xf>
    <xf numFmtId="2" fontId="15" fillId="27" borderId="28" xfId="49" applyNumberFormat="1" applyFont="1" applyFill="1" applyBorder="1" applyAlignment="1">
      <alignment horizontal="center" vertical="top" wrapText="1"/>
    </xf>
    <xf numFmtId="2" fontId="15" fillId="27" borderId="30" xfId="49" applyNumberFormat="1" applyFont="1" applyFill="1" applyBorder="1" applyAlignment="1">
      <alignment horizontal="center" vertical="top" wrapText="1"/>
    </xf>
    <xf numFmtId="2" fontId="15" fillId="27" borderId="0" xfId="49" applyNumberFormat="1" applyFont="1" applyFill="1" applyBorder="1" applyAlignment="1">
      <alignment horizontal="center" vertical="top" wrapText="1"/>
    </xf>
    <xf numFmtId="2" fontId="15" fillId="27" borderId="11" xfId="49" applyNumberFormat="1" applyFont="1" applyFill="1" applyBorder="1" applyAlignment="1">
      <alignment horizontal="center" vertical="top" wrapText="1"/>
    </xf>
    <xf numFmtId="0" fontId="13" fillId="27" borderId="38" xfId="0" applyFont="1" applyFill="1" applyBorder="1" applyAlignment="1">
      <alignment horizontal="left" wrapText="1"/>
    </xf>
    <xf numFmtId="0" fontId="13" fillId="27" borderId="21" xfId="0" applyFont="1" applyFill="1" applyBorder="1" applyAlignment="1">
      <alignment horizontal="left" wrapText="1"/>
    </xf>
    <xf numFmtId="0" fontId="13" fillId="27" borderId="39" xfId="0" applyFont="1" applyFill="1" applyBorder="1" applyAlignment="1">
      <alignment horizontal="left" wrapText="1"/>
    </xf>
    <xf numFmtId="2" fontId="15" fillId="27" borderId="29" xfId="0" applyNumberFormat="1" applyFont="1" applyFill="1" applyBorder="1" applyAlignment="1">
      <alignment horizontal="center" vertical="top" wrapText="1"/>
    </xf>
    <xf numFmtId="2" fontId="15" fillId="27" borderId="12" xfId="0" applyNumberFormat="1" applyFont="1" applyFill="1" applyBorder="1" applyAlignment="1">
      <alignment horizontal="center" vertical="top" wrapText="1"/>
    </xf>
    <xf numFmtId="2" fontId="15" fillId="27" borderId="28" xfId="0" applyNumberFormat="1" applyFont="1" applyFill="1" applyBorder="1" applyAlignment="1">
      <alignment horizontal="center" vertical="top" wrapText="1"/>
    </xf>
    <xf numFmtId="2" fontId="15" fillId="27" borderId="30" xfId="0" applyNumberFormat="1" applyFont="1" applyFill="1" applyBorder="1" applyAlignment="1">
      <alignment horizontal="center" vertical="top" wrapText="1"/>
    </xf>
    <xf numFmtId="2" fontId="15" fillId="27" borderId="0" xfId="0" applyNumberFormat="1" applyFont="1" applyFill="1" applyBorder="1" applyAlignment="1">
      <alignment horizontal="center" vertical="top" wrapText="1"/>
    </xf>
    <xf numFmtId="2" fontId="15" fillId="27" borderId="11" xfId="0" applyNumberFormat="1" applyFont="1" applyFill="1" applyBorder="1" applyAlignment="1">
      <alignment horizontal="center" vertical="top" wrapText="1"/>
    </xf>
    <xf numFmtId="2" fontId="15" fillId="27" borderId="38" xfId="0" applyNumberFormat="1" applyFont="1" applyFill="1" applyBorder="1" applyAlignment="1">
      <alignment horizontal="center" vertical="top" wrapText="1"/>
    </xf>
    <xf numFmtId="2" fontId="15" fillId="27" borderId="21" xfId="0" applyNumberFormat="1" applyFont="1" applyFill="1" applyBorder="1" applyAlignment="1">
      <alignment horizontal="center" vertical="top" wrapText="1"/>
    </xf>
    <xf numFmtId="2" fontId="15" fillId="27" borderId="39" xfId="0" applyNumberFormat="1" applyFont="1" applyFill="1" applyBorder="1" applyAlignment="1">
      <alignment horizontal="center" vertical="top" wrapText="1"/>
    </xf>
    <xf numFmtId="0" fontId="13" fillId="27" borderId="38" xfId="0" applyFont="1" applyFill="1" applyBorder="1" applyAlignment="1">
      <alignment horizontal="left" vertical="top"/>
    </xf>
    <xf numFmtId="0" fontId="13" fillId="27" borderId="21" xfId="0" applyFont="1" applyFill="1" applyBorder="1" applyAlignment="1">
      <alignment horizontal="left" vertical="top"/>
    </xf>
    <xf numFmtId="0" fontId="13" fillId="27" borderId="39" xfId="0" applyFont="1" applyFill="1" applyBorder="1" applyAlignment="1">
      <alignment horizontal="left" vertical="top"/>
    </xf>
    <xf numFmtId="0" fontId="13" fillId="27" borderId="41" xfId="0" quotePrefix="1" applyFont="1" applyFill="1" applyBorder="1" applyAlignment="1">
      <alignment horizontal="center" vertical="center"/>
    </xf>
    <xf numFmtId="0" fontId="13" fillId="27" borderId="42" xfId="0" quotePrefix="1" applyFont="1" applyFill="1" applyBorder="1" applyAlignment="1">
      <alignment horizontal="center" vertical="center"/>
    </xf>
    <xf numFmtId="0" fontId="13" fillId="0" borderId="23" xfId="0" quotePrefix="1" applyFont="1" applyFill="1" applyBorder="1" applyAlignment="1">
      <alignment horizontal="center" vertical="center"/>
    </xf>
    <xf numFmtId="0" fontId="13" fillId="0" borderId="24" xfId="0" quotePrefix="1" applyFont="1" applyFill="1" applyBorder="1" applyAlignment="1">
      <alignment horizontal="center" vertical="center"/>
    </xf>
    <xf numFmtId="0" fontId="13" fillId="0" borderId="27" xfId="0" quotePrefix="1" applyFont="1" applyFill="1" applyBorder="1" applyAlignment="1">
      <alignment horizontal="center" vertical="center"/>
    </xf>
    <xf numFmtId="17" fontId="13" fillId="0" borderId="26" xfId="0" quotePrefix="1" applyNumberFormat="1" applyFont="1" applyFill="1" applyBorder="1" applyAlignment="1">
      <alignment horizontal="center" vertical="center"/>
    </xf>
    <xf numFmtId="17" fontId="13" fillId="0" borderId="24" xfId="0" quotePrefix="1" applyNumberFormat="1" applyFont="1" applyFill="1" applyBorder="1" applyAlignment="1">
      <alignment horizontal="center" vertical="center"/>
    </xf>
    <xf numFmtId="17" fontId="13" fillId="0" borderId="27" xfId="0" quotePrefix="1" applyNumberFormat="1" applyFont="1" applyFill="1" applyBorder="1" applyAlignment="1">
      <alignment horizontal="center" vertical="center"/>
    </xf>
    <xf numFmtId="17" fontId="13" fillId="0" borderId="23" xfId="0" quotePrefix="1" applyNumberFormat="1" applyFont="1" applyFill="1" applyBorder="1" applyAlignment="1">
      <alignment horizontal="center" vertical="center"/>
    </xf>
    <xf numFmtId="0" fontId="13" fillId="27" borderId="11" xfId="0" applyFont="1" applyFill="1" applyBorder="1" applyAlignment="1">
      <alignment horizontal="left" vertical="top" wrapText="1"/>
    </xf>
    <xf numFmtId="0" fontId="13" fillId="27" borderId="11" xfId="0" applyFont="1" applyFill="1" applyBorder="1" applyAlignment="1">
      <alignment horizontal="left" wrapText="1"/>
    </xf>
    <xf numFmtId="0" fontId="13" fillId="27" borderId="39" xfId="0" applyFont="1" applyFill="1" applyBorder="1" applyAlignment="1">
      <alignment horizontal="left" vertical="top" wrapText="1"/>
    </xf>
    <xf numFmtId="0" fontId="19" fillId="0" borderId="30"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3" fillId="27" borderId="40" xfId="0" quotePrefix="1" applyFont="1" applyFill="1" applyBorder="1" applyAlignment="1">
      <alignment horizontal="center" vertical="center"/>
    </xf>
    <xf numFmtId="0" fontId="13" fillId="0" borderId="28" xfId="0" applyFont="1" applyFill="1" applyBorder="1" applyAlignment="1">
      <alignment horizontal="left" vertical="top" wrapText="1"/>
    </xf>
    <xf numFmtId="0" fontId="13" fillId="0" borderId="39" xfId="0" applyFont="1" applyFill="1" applyBorder="1" applyAlignment="1">
      <alignment horizontal="left" vertical="top" wrapText="1"/>
    </xf>
    <xf numFmtId="0" fontId="19" fillId="0" borderId="0" xfId="114" applyFont="1" applyFill="1" applyBorder="1" applyAlignment="1">
      <alignment horizontal="justify" vertical="center"/>
    </xf>
    <xf numFmtId="0" fontId="19" fillId="0" borderId="0" xfId="114" applyFont="1" applyFill="1" applyBorder="1" applyAlignment="1">
      <alignment horizontal="justify" vertical="center" wrapText="1"/>
    </xf>
    <xf numFmtId="0" fontId="13" fillId="27" borderId="11" xfId="63" applyFont="1" applyFill="1" applyBorder="1" applyAlignment="1">
      <alignment horizontal="left" vertical="top" wrapText="1"/>
    </xf>
    <xf numFmtId="0" fontId="13" fillId="27" borderId="39" xfId="63" applyFont="1" applyFill="1" applyBorder="1" applyAlignment="1">
      <alignment horizontal="left" vertical="top" wrapText="1"/>
    </xf>
    <xf numFmtId="0" fontId="10" fillId="0" borderId="0" xfId="114" applyFont="1" applyFill="1" applyBorder="1" applyAlignment="1">
      <alignment horizontal="left" wrapText="1" indent="1"/>
    </xf>
    <xf numFmtId="0" fontId="10" fillId="0" borderId="21" xfId="114" applyFont="1" applyFill="1" applyBorder="1" applyAlignment="1">
      <alignment horizontal="left" wrapText="1" indent="1"/>
    </xf>
    <xf numFmtId="0" fontId="13" fillId="27" borderId="41" xfId="0" applyFont="1" applyFill="1" applyBorder="1" applyAlignment="1">
      <alignment horizontal="left" vertical="top" wrapText="1"/>
    </xf>
    <xf numFmtId="0" fontId="13" fillId="27" borderId="42" xfId="0" applyFont="1" applyFill="1" applyBorder="1" applyAlignment="1">
      <alignment horizontal="left" vertical="top" wrapText="1"/>
    </xf>
    <xf numFmtId="0" fontId="62" fillId="0" borderId="11" xfId="0" applyFont="1" applyFill="1" applyBorder="1" applyAlignment="1">
      <alignment horizontal="justify" vertical="center" wrapText="1"/>
    </xf>
  </cellXfs>
  <cellStyles count="12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omma 2" xfId="56"/>
    <cellStyle name="Comma 2 2" xfId="57"/>
    <cellStyle name="Comma 2 3" xfId="74"/>
    <cellStyle name="Comma 3" xfId="58"/>
    <cellStyle name="Comma 4" xfId="59"/>
    <cellStyle name="Comma 4 2" xfId="116"/>
    <cellStyle name="Comma 5" xfId="117"/>
    <cellStyle name="Comma 6" xfId="118"/>
    <cellStyle name="Currency 2" xfId="119"/>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115"/>
    <cellStyle name="Input" xfId="35" builtinId="20" customBuiltin="1"/>
    <cellStyle name="Linked Cell" xfId="36" builtinId="24" customBuiltin="1"/>
    <cellStyle name="Neutral" xfId="37" builtinId="28" customBuiltin="1"/>
    <cellStyle name="Normal" xfId="0" builtinId="0"/>
    <cellStyle name="Normal 10" xfId="60"/>
    <cellStyle name="Normal 12" xfId="61"/>
    <cellStyle name="Normal 2" xfId="52"/>
    <cellStyle name="Normal 2 2" xfId="53"/>
    <cellStyle name="Normal 2 2 2" xfId="62"/>
    <cellStyle name="Normal 2 2 3" xfId="111"/>
    <cellStyle name="Normal 2 2 4" xfId="113"/>
    <cellStyle name="Normal 2 3" xfId="63"/>
    <cellStyle name="Normal 2 4" xfId="120"/>
    <cellStyle name="Normal 3" xfId="54"/>
    <cellStyle name="Normal 3 2" xfId="72"/>
    <cellStyle name="Normal 4" xfId="64"/>
    <cellStyle name="Normal 5" xfId="65"/>
    <cellStyle name="Normal 5 2" xfId="121"/>
    <cellStyle name="Normal 6" xfId="66"/>
    <cellStyle name="Normal 7" xfId="67"/>
    <cellStyle name="Normal 8" xfId="68"/>
    <cellStyle name="Normal_1. Tax revenue - 30 May 2008" xfId="50"/>
    <cellStyle name="Normal_2. PIT - 10 Oct 2008" xfId="114"/>
    <cellStyle name="Normal_2. PIT - 30 May 2008" xfId="49"/>
    <cellStyle name="Normal_2. PIT - Jan 2008" xfId="38"/>
    <cellStyle name="Normal_2.1.4 &amp; 2.1.5" xfId="39"/>
    <cellStyle name="Normal_2.2.1" xfId="40"/>
    <cellStyle name="Normal_2.3.1" xfId="41"/>
    <cellStyle name="Normal_A2.1.3" xfId="42"/>
    <cellStyle name="Note" xfId="43" builtinId="10" customBuiltin="1"/>
    <cellStyle name="Output" xfId="44" builtinId="21" customBuiltin="1"/>
    <cellStyle name="Percent" xfId="45" builtinId="5"/>
    <cellStyle name="Percent 2" xfId="55"/>
    <cellStyle name="Percent 2 2" xfId="69"/>
    <cellStyle name="Percent 2 3" xfId="73"/>
    <cellStyle name="Percent 2 4" xfId="112"/>
    <cellStyle name="Percent 3" xfId="122"/>
    <cellStyle name="Percent 4" xfId="123"/>
    <cellStyle name="SAPBEXaggData" xfId="75"/>
    <cellStyle name="SAPBEXaggDataEmph" xfId="76"/>
    <cellStyle name="SAPBEXaggItem" xfId="77"/>
    <cellStyle name="SAPBEXaggItemX" xfId="78"/>
    <cellStyle name="SAPBEXchaText" xfId="70"/>
    <cellStyle name="SAPBEXexcBad7" xfId="79"/>
    <cellStyle name="SAPBEXexcBad8" xfId="80"/>
    <cellStyle name="SAPBEXexcBad9" xfId="81"/>
    <cellStyle name="SAPBEXexcCritical4" xfId="82"/>
    <cellStyle name="SAPBEXexcCritical5" xfId="83"/>
    <cellStyle name="SAPBEXexcCritical6" xfId="84"/>
    <cellStyle name="SAPBEXexcGood1" xfId="85"/>
    <cellStyle name="SAPBEXexcGood2" xfId="86"/>
    <cellStyle name="SAPBEXexcGood3" xfId="87"/>
    <cellStyle name="SAPBEXfilterDrill" xfId="88"/>
    <cellStyle name="SAPBEXfilterItem" xfId="89"/>
    <cellStyle name="SAPBEXfilterText" xfId="90"/>
    <cellStyle name="SAPBEXformats" xfId="91"/>
    <cellStyle name="SAPBEXheaderItem" xfId="92"/>
    <cellStyle name="SAPBEXheaderText" xfId="93"/>
    <cellStyle name="SAPBEXHLevel0" xfId="94"/>
    <cellStyle name="SAPBEXHLevel0X" xfId="95"/>
    <cellStyle name="SAPBEXHLevel1" xfId="96"/>
    <cellStyle name="SAPBEXHLevel1X" xfId="97"/>
    <cellStyle name="SAPBEXHLevel2" xfId="98"/>
    <cellStyle name="SAPBEXHLevel2X" xfId="99"/>
    <cellStyle name="SAPBEXHLevel3" xfId="100"/>
    <cellStyle name="SAPBEXHLevel3X" xfId="101"/>
    <cellStyle name="SAPBEXresData" xfId="102"/>
    <cellStyle name="SAPBEXresDataEmph" xfId="103"/>
    <cellStyle name="SAPBEXresItem" xfId="104"/>
    <cellStyle name="SAPBEXresItemX" xfId="105"/>
    <cellStyle name="SAPBEXstdData" xfId="106"/>
    <cellStyle name="SAPBEXstdDataEmph" xfId="107"/>
    <cellStyle name="SAPBEXstdItem" xfId="71"/>
    <cellStyle name="SAPBEXstdItemX" xfId="108"/>
    <cellStyle name="SAPBEXtitle" xfId="109"/>
    <cellStyle name="SAPBEXundefined" xfId="110"/>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colors>
    <mruColors>
      <color rgb="FFFFFF99"/>
      <color rgb="FFC5D9F1"/>
      <color rgb="FFE6B9B8"/>
      <color rgb="FF7F7F7F"/>
      <color rgb="FF1F497D"/>
      <color rgb="FFD9D9D9"/>
      <color rgb="FF99CCFF"/>
      <color rgb="FF993300"/>
      <color rgb="FF991F00"/>
      <color rgb="FF004F8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38444444444441E-2"/>
          <c:y val="6.4929611071344012E-2"/>
          <c:w val="0.7481226666666666"/>
          <c:h val="0.73461080246913579"/>
        </c:manualLayout>
      </c:layout>
      <c:lineChart>
        <c:grouping val="standard"/>
        <c:varyColors val="0"/>
        <c:ser>
          <c:idx val="3"/>
          <c:order val="1"/>
          <c:tx>
            <c:strRef>
              <c:f>'Fig 2.1'!$I$25</c:f>
              <c:strCache>
                <c:ptCount val="1"/>
                <c:pt idx="0">
                  <c:v>Effective rate (1995)</c:v>
                </c:pt>
              </c:strCache>
            </c:strRef>
          </c:tx>
          <c:spPr>
            <a:ln>
              <a:solidFill>
                <a:srgbClr val="99CCFF"/>
              </a:solidFill>
            </a:ln>
          </c:spPr>
          <c:marker>
            <c:symbol val="none"/>
          </c:marker>
          <c:dLbls>
            <c:dLbl>
              <c:idx val="0"/>
              <c:layout>
                <c:manualLayout>
                  <c:x val="-2.8647083321226913E-2"/>
                  <c:y val="-0.13760270607885242"/>
                </c:manualLayout>
              </c:layout>
              <c:tx>
                <c:rich>
                  <a:bodyPr/>
                  <a:lstStyle/>
                  <a:p>
                    <a:r>
                      <a:rPr lang="en-US"/>
                      <a:t>(2) Paying tax at an effective tax rate of 33.8% in 1995</a:t>
                    </a:r>
                  </a:p>
                </c:rich>
              </c:tx>
              <c:dLblPos val="r"/>
              <c:showLegendKey val="0"/>
              <c:showVal val="1"/>
              <c:showCatName val="0"/>
              <c:showSerName val="0"/>
              <c:showPercent val="0"/>
              <c:showBubbleSize val="0"/>
            </c:dLbl>
            <c:dLbl>
              <c:idx val="16"/>
              <c:layout>
                <c:manualLayout>
                  <c:x val="-0.15460053655654657"/>
                  <c:y val="0.1939478153466111"/>
                </c:manualLayout>
              </c:layout>
              <c:tx>
                <c:rich>
                  <a:bodyPr/>
                  <a:lstStyle/>
                  <a:p>
                    <a:r>
                      <a:rPr lang="en-US"/>
                      <a:t>(4) If income had </a:t>
                    </a:r>
                    <a:r>
                      <a:rPr lang="en-US" baseline="0"/>
                      <a:t>kept pace with only inflation, they would be paying tax at </a:t>
                    </a:r>
                    <a:r>
                      <a:rPr lang="en-US"/>
                      <a:t>39.7%</a:t>
                    </a:r>
                  </a:p>
                </c:rich>
              </c:tx>
              <c:dLblPos val="r"/>
              <c:showLegendKey val="0"/>
              <c:showVal val="1"/>
              <c:showCatName val="0"/>
              <c:showSerName val="0"/>
              <c:showPercent val="0"/>
              <c:showBubbleSize val="0"/>
            </c:dLbl>
            <c:spPr>
              <a:solidFill>
                <a:schemeClr val="accent2">
                  <a:lumMod val="60000"/>
                  <a:lumOff val="40000"/>
                </a:schemeClr>
              </a:solidFill>
              <a:ln>
                <a:solidFill>
                  <a:schemeClr val="tx1"/>
                </a:solidFill>
              </a:ln>
            </c:spPr>
            <c:showLegendKey val="0"/>
            <c:showVal val="0"/>
            <c:showCatName val="0"/>
            <c:showSerName val="0"/>
            <c:showPercent val="0"/>
            <c:showBubbleSize val="0"/>
          </c:dLbls>
          <c:cat>
            <c:numRef>
              <c:f>'Fig 2.1'!$E$26:$E$43</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 2.1'!$I$26:$I$43</c:f>
              <c:numCache>
                <c:formatCode>0.0%</c:formatCode>
                <c:ptCount val="18"/>
                <c:pt idx="0">
                  <c:v>0.33765000000000001</c:v>
                </c:pt>
                <c:pt idx="1">
                  <c:v>0.34433988802559412</c:v>
                </c:pt>
                <c:pt idx="2">
                  <c:v>0.35076756499682943</c:v>
                </c:pt>
                <c:pt idx="3">
                  <c:v>0.35637032999410723</c:v>
                </c:pt>
                <c:pt idx="4">
                  <c:v>0.36160944170771758</c:v>
                </c:pt>
                <c:pt idx="5">
                  <c:v>0.36408675048355899</c:v>
                </c:pt>
                <c:pt idx="6">
                  <c:v>0.36810293097754293</c:v>
                </c:pt>
                <c:pt idx="7">
                  <c:v>0.37119098682146218</c:v>
                </c:pt>
                <c:pt idx="8">
                  <c:v>0.37672418277430353</c:v>
                </c:pt>
                <c:pt idx="9">
                  <c:v>0.37845315594059409</c:v>
                </c:pt>
                <c:pt idx="10">
                  <c:v>0.37947450465022237</c:v>
                </c:pt>
                <c:pt idx="11">
                  <c:v>0.38120428924759175</c:v>
                </c:pt>
                <c:pt idx="12">
                  <c:v>0.38363079539831763</c:v>
                </c:pt>
                <c:pt idx="13">
                  <c:v>0.38710132181277179</c:v>
                </c:pt>
                <c:pt idx="14">
                  <c:v>0.39146703844572367</c:v>
                </c:pt>
                <c:pt idx="15">
                  <c:v>0.39356093613298337</c:v>
                </c:pt>
                <c:pt idx="16">
                  <c:v>0.39489852514280366</c:v>
                </c:pt>
                <c:pt idx="17">
                  <c:v>0.39675105109100584</c:v>
                </c:pt>
              </c:numCache>
            </c:numRef>
          </c:val>
          <c:smooth val="1"/>
        </c:ser>
        <c:ser>
          <c:idx val="5"/>
          <c:order val="2"/>
          <c:tx>
            <c:strRef>
              <c:f>'Fig 2.1'!$K$25</c:f>
              <c:strCache>
                <c:ptCount val="1"/>
                <c:pt idx="0">
                  <c:v>Effective rate (Applicable rate)</c:v>
                </c:pt>
              </c:strCache>
            </c:strRef>
          </c:tx>
          <c:spPr>
            <a:ln>
              <a:solidFill>
                <a:schemeClr val="tx2"/>
              </a:solidFill>
            </a:ln>
          </c:spPr>
          <c:marker>
            <c:symbol val="none"/>
          </c:marker>
          <c:dLbls>
            <c:dLbl>
              <c:idx val="16"/>
              <c:layout>
                <c:manualLayout>
                  <c:x val="-0.18450184501845021"/>
                  <c:y val="-9.2691902816960714E-2"/>
                </c:manualLayout>
              </c:layout>
              <c:tx>
                <c:rich>
                  <a:bodyPr/>
                  <a:lstStyle/>
                  <a:p>
                    <a:pPr>
                      <a:defRPr sz="800">
                        <a:solidFill>
                          <a:schemeClr val="bg1"/>
                        </a:solidFill>
                        <a:latin typeface="Arial" pitchFamily="34" charset="0"/>
                        <a:ea typeface="+mn-ea"/>
                        <a:cs typeface="Arial" pitchFamily="34" charset="0"/>
                      </a:defRPr>
                    </a:pPr>
                    <a:r>
                      <a:rPr lang="en-US" sz="800">
                        <a:solidFill>
                          <a:schemeClr val="bg1"/>
                        </a:solidFill>
                        <a:latin typeface="Arial" pitchFamily="34" charset="0"/>
                        <a:ea typeface="+mn-ea"/>
                        <a:cs typeface="Arial" pitchFamily="34" charset="0"/>
                      </a:rPr>
                      <a:t>(5) With tax relief they are paying tax at 18.1%</a:t>
                    </a:r>
                    <a:endParaRPr lang="en-US">
                      <a:solidFill>
                        <a:schemeClr val="bg1"/>
                      </a:solidFill>
                      <a:latin typeface="+mn-lt"/>
                      <a:ea typeface="+mn-ea"/>
                      <a:cs typeface="+mn-cs"/>
                    </a:endParaRPr>
                  </a:p>
                </c:rich>
              </c:tx>
              <c:spPr>
                <a:solidFill>
                  <a:schemeClr val="accent1">
                    <a:lumMod val="75000"/>
                  </a:schemeClr>
                </a:solidFill>
                <a:ln w="3175" cap="flat" cmpd="sng" algn="ctr">
                  <a:solidFill>
                    <a:schemeClr val="dk1"/>
                  </a:solidFill>
                  <a:prstDash val="solid"/>
                </a:ln>
                <a:effectLst/>
              </c:spPr>
              <c:showLegendKey val="0"/>
              <c:showVal val="1"/>
              <c:showCatName val="0"/>
              <c:showSerName val="0"/>
              <c:showPercent val="0"/>
              <c:showBubbleSize val="0"/>
            </c:dLbl>
            <c:txPr>
              <a:bodyPr/>
              <a:lstStyle/>
              <a:p>
                <a:pPr>
                  <a:defRPr sz="800">
                    <a:latin typeface="Arial" pitchFamily="34" charset="0"/>
                    <a:cs typeface="Arial" pitchFamily="34" charset="0"/>
                  </a:defRPr>
                </a:pPr>
                <a:endParaRPr lang="en-US"/>
              </a:p>
            </c:txPr>
            <c:showLegendKey val="0"/>
            <c:showVal val="0"/>
            <c:showCatName val="0"/>
            <c:showSerName val="0"/>
            <c:showPercent val="0"/>
            <c:showBubbleSize val="0"/>
          </c:dLbls>
          <c:cat>
            <c:numRef>
              <c:f>'Fig 2.1'!$E$26:$E$43</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 2.1'!$K$26:$K$43</c:f>
              <c:numCache>
                <c:formatCode>0.0%</c:formatCode>
                <c:ptCount val="18"/>
                <c:pt idx="0">
                  <c:v>0.33765000000000001</c:v>
                </c:pt>
                <c:pt idx="1">
                  <c:v>0.33898223263254113</c:v>
                </c:pt>
                <c:pt idx="2">
                  <c:v>0.33451883322764742</c:v>
                </c:pt>
                <c:pt idx="3">
                  <c:v>0.3370639658220389</c:v>
                </c:pt>
                <c:pt idx="4">
                  <c:v>0.33621321839080465</c:v>
                </c:pt>
                <c:pt idx="5">
                  <c:v>0.32980735009671186</c:v>
                </c:pt>
                <c:pt idx="6">
                  <c:v>0.30348480845442533</c:v>
                </c:pt>
                <c:pt idx="7">
                  <c:v>0.2886863508001255</c:v>
                </c:pt>
                <c:pt idx="8">
                  <c:v>0.25158422399090385</c:v>
                </c:pt>
                <c:pt idx="9">
                  <c:v>0.22273762376237621</c:v>
                </c:pt>
                <c:pt idx="10">
                  <c:v>0.21606777193691867</c:v>
                </c:pt>
                <c:pt idx="11">
                  <c:v>0.20522442072376984</c:v>
                </c:pt>
                <c:pt idx="12">
                  <c:v>0.1885331519049975</c:v>
                </c:pt>
                <c:pt idx="13">
                  <c:v>0.18565771915770199</c:v>
                </c:pt>
                <c:pt idx="14">
                  <c:v>0.18913689350328947</c:v>
                </c:pt>
                <c:pt idx="15">
                  <c:v>0.18361595800524935</c:v>
                </c:pt>
                <c:pt idx="16">
                  <c:v>0.18175345069763088</c:v>
                </c:pt>
                <c:pt idx="17">
                  <c:v>0.18117146088344865</c:v>
                </c:pt>
              </c:numCache>
            </c:numRef>
          </c:val>
          <c:smooth val="1"/>
        </c:ser>
        <c:dLbls>
          <c:showLegendKey val="0"/>
          <c:showVal val="0"/>
          <c:showCatName val="0"/>
          <c:showSerName val="0"/>
          <c:showPercent val="0"/>
          <c:showBubbleSize val="0"/>
        </c:dLbls>
        <c:marker val="1"/>
        <c:smooth val="0"/>
        <c:axId val="72439680"/>
        <c:axId val="72441216"/>
      </c:lineChart>
      <c:lineChart>
        <c:grouping val="standard"/>
        <c:varyColors val="0"/>
        <c:ser>
          <c:idx val="1"/>
          <c:order val="0"/>
          <c:tx>
            <c:strRef>
              <c:f>'Fig 2.1'!$G$25</c:f>
              <c:strCache>
                <c:ptCount val="1"/>
                <c:pt idx="0">
                  <c:v>Taxable income</c:v>
                </c:pt>
              </c:strCache>
            </c:strRef>
          </c:tx>
          <c:spPr>
            <a:ln>
              <a:solidFill>
                <a:srgbClr val="993300"/>
              </a:solidFill>
            </a:ln>
          </c:spPr>
          <c:marker>
            <c:symbol val="none"/>
          </c:marker>
          <c:dLbls>
            <c:dLbl>
              <c:idx val="0"/>
              <c:layout>
                <c:manualLayout>
                  <c:x val="-7.3800738007380072E-3"/>
                  <c:y val="8.1995873510463599E-2"/>
                </c:manualLayout>
              </c:layout>
              <c:tx>
                <c:rich>
                  <a:bodyPr/>
                  <a:lstStyle/>
                  <a:p>
                    <a:r>
                      <a:rPr lang="en-US"/>
                      <a:t>(1) An individual with taxable income of</a:t>
                    </a:r>
                    <a:br>
                      <a:rPr lang="en-US"/>
                    </a:br>
                    <a:r>
                      <a:rPr lang="en-US"/>
                      <a:t>R100 000 in 1995</a:t>
                    </a:r>
                  </a:p>
                </c:rich>
              </c:tx>
              <c:showLegendKey val="0"/>
              <c:showVal val="1"/>
              <c:showCatName val="0"/>
              <c:showSerName val="0"/>
              <c:showPercent val="0"/>
              <c:showBubbleSize val="0"/>
            </c:dLbl>
            <c:dLbl>
              <c:idx val="16"/>
              <c:layout>
                <c:manualLayout>
                  <c:x val="-0.44173244444444437"/>
                  <c:y val="-2.7457407407407406E-2"/>
                </c:manualLayout>
              </c:layout>
              <c:tx>
                <c:rich>
                  <a:bodyPr/>
                  <a:lstStyle/>
                  <a:p>
                    <a:r>
                      <a:rPr lang="en-US" sz="800" b="0" i="0" u="none" strike="noStrike" baseline="0"/>
                      <a:t>(3) If taxable income had kept pace with only inflation it</a:t>
                    </a:r>
                    <a:r>
                      <a:rPr lang="en-US"/>
                      <a:t> would have increased to </a:t>
                    </a:r>
                    <a:br>
                      <a:rPr lang="en-US"/>
                    </a:br>
                    <a:r>
                      <a:rPr lang="en-US"/>
                      <a:t>R277 753 in 2012 </a:t>
                    </a:r>
                  </a:p>
                </c:rich>
              </c:tx>
              <c:showLegendKey val="0"/>
              <c:showVal val="1"/>
              <c:showCatName val="0"/>
              <c:showSerName val="0"/>
              <c:showPercent val="0"/>
              <c:showBubbleSize val="0"/>
            </c:dLbl>
            <c:spPr>
              <a:solidFill>
                <a:schemeClr val="accent1">
                  <a:lumMod val="60000"/>
                  <a:lumOff val="40000"/>
                </a:schemeClr>
              </a:solidFill>
              <a:ln>
                <a:solidFill>
                  <a:schemeClr val="tx1"/>
                </a:solidFill>
              </a:ln>
            </c:spPr>
            <c:showLegendKey val="0"/>
            <c:showVal val="0"/>
            <c:showCatName val="0"/>
            <c:showSerName val="0"/>
            <c:showPercent val="0"/>
            <c:showBubbleSize val="0"/>
          </c:dLbls>
          <c:cat>
            <c:numRef>
              <c:f>'Fig 2.1'!$E$26:$E$43</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 2.1'!$G$26:$G$43</c:f>
              <c:numCache>
                <c:formatCode>_ [$R-1C09]\ * #,##0_ ;_ [$R-1C09]\ * \-#,##0_ ;_ [$R-1C09]\ * "-"??_ ;_ @_ </c:formatCode>
                <c:ptCount val="18"/>
                <c:pt idx="0">
                  <c:v>100000</c:v>
                </c:pt>
                <c:pt idx="1">
                  <c:v>107809.80537078097</c:v>
                </c:pt>
                <c:pt idx="2">
                  <c:v>116555.8019216556</c:v>
                </c:pt>
                <c:pt idx="3">
                  <c:v>125424.98152254253</c:v>
                </c:pt>
                <c:pt idx="4">
                  <c:v>135033.25942350336</c:v>
                </c:pt>
                <c:pt idx="5">
                  <c:v>140108.40108401087</c:v>
                </c:pt>
                <c:pt idx="6">
                  <c:v>149199.31017491993</c:v>
                </c:pt>
                <c:pt idx="7">
                  <c:v>157033.75215570338</c:v>
                </c:pt>
                <c:pt idx="8">
                  <c:v>173343.18797733425</c:v>
                </c:pt>
                <c:pt idx="9">
                  <c:v>179157.42793791569</c:v>
                </c:pt>
                <c:pt idx="10">
                  <c:v>182779.00960827785</c:v>
                </c:pt>
                <c:pt idx="11">
                  <c:v>189258.43803892581</c:v>
                </c:pt>
                <c:pt idx="12">
                  <c:v>199162.35525991619</c:v>
                </c:pt>
                <c:pt idx="13">
                  <c:v>215274.69820152744</c:v>
                </c:pt>
                <c:pt idx="14">
                  <c:v>239664.94210396646</c:v>
                </c:pt>
                <c:pt idx="15">
                  <c:v>253436.80709534371</c:v>
                </c:pt>
                <c:pt idx="16">
                  <c:v>263094.35821630951</c:v>
                </c:pt>
                <c:pt idx="17">
                  <c:v>277753.14116777538</c:v>
                </c:pt>
              </c:numCache>
            </c:numRef>
          </c:val>
          <c:smooth val="1"/>
        </c:ser>
        <c:dLbls>
          <c:showLegendKey val="0"/>
          <c:showVal val="0"/>
          <c:showCatName val="0"/>
          <c:showSerName val="0"/>
          <c:showPercent val="0"/>
          <c:showBubbleSize val="0"/>
        </c:dLbls>
        <c:marker val="1"/>
        <c:smooth val="0"/>
        <c:axId val="72465408"/>
        <c:axId val="72463488"/>
      </c:lineChart>
      <c:catAx>
        <c:axId val="72439680"/>
        <c:scaling>
          <c:orientation val="minMax"/>
        </c:scaling>
        <c:delete val="0"/>
        <c:axPos val="b"/>
        <c:numFmt formatCode="General" sourceLinked="1"/>
        <c:majorTickMark val="out"/>
        <c:minorTickMark val="none"/>
        <c:tickLblPos val="nextTo"/>
        <c:spPr>
          <a:ln w="3175">
            <a:solidFill>
              <a:schemeClr val="tx1"/>
            </a:solidFill>
          </a:ln>
        </c:spPr>
        <c:txPr>
          <a:bodyPr rot="-5400000" vert="horz"/>
          <a:lstStyle/>
          <a:p>
            <a:pPr>
              <a:defRPr sz="800">
                <a:latin typeface="Arial" pitchFamily="34" charset="0"/>
                <a:cs typeface="Arial" pitchFamily="34" charset="0"/>
              </a:defRPr>
            </a:pPr>
            <a:endParaRPr lang="en-US"/>
          </a:p>
        </c:txPr>
        <c:crossAx val="72441216"/>
        <c:crosses val="autoZero"/>
        <c:auto val="1"/>
        <c:lblAlgn val="ctr"/>
        <c:lblOffset val="100"/>
        <c:noMultiLvlLbl val="0"/>
      </c:catAx>
      <c:valAx>
        <c:axId val="72441216"/>
        <c:scaling>
          <c:orientation val="minMax"/>
          <c:min val="0.15000000000000024"/>
        </c:scaling>
        <c:delete val="0"/>
        <c:axPos val="l"/>
        <c:majorGridlines/>
        <c:numFmt formatCode="0%" sourceLinked="0"/>
        <c:majorTickMark val="out"/>
        <c:minorTickMark val="none"/>
        <c:tickLblPos val="nextTo"/>
        <c:spPr>
          <a:ln w="3175">
            <a:solidFill>
              <a:schemeClr val="tx1"/>
            </a:solidFill>
          </a:ln>
        </c:spPr>
        <c:crossAx val="72439680"/>
        <c:crosses val="autoZero"/>
        <c:crossBetween val="between"/>
      </c:valAx>
      <c:valAx>
        <c:axId val="72463488"/>
        <c:scaling>
          <c:orientation val="minMax"/>
          <c:max val="300000"/>
        </c:scaling>
        <c:delete val="0"/>
        <c:axPos val="r"/>
        <c:title>
          <c:tx>
            <c:rich>
              <a:bodyPr rot="-5400000" vert="horz"/>
              <a:lstStyle/>
              <a:p>
                <a:pPr>
                  <a:defRPr/>
                </a:pPr>
                <a:r>
                  <a:rPr lang="en-ZA"/>
                  <a:t>Taxable income</a:t>
                </a:r>
              </a:p>
            </c:rich>
          </c:tx>
          <c:layout>
            <c:manualLayout>
              <c:xMode val="edge"/>
              <c:yMode val="edge"/>
              <c:x val="0.95147822222222223"/>
              <c:y val="0.30282438271604933"/>
            </c:manualLayout>
          </c:layout>
          <c:overlay val="0"/>
        </c:title>
        <c:numFmt formatCode="&quot;R&quot;#,##0" sourceLinked="0"/>
        <c:majorTickMark val="out"/>
        <c:minorTickMark val="none"/>
        <c:tickLblPos val="nextTo"/>
        <c:spPr>
          <a:ln w="3175">
            <a:solidFill>
              <a:schemeClr val="tx1"/>
            </a:solidFill>
          </a:ln>
        </c:spPr>
        <c:crossAx val="72465408"/>
        <c:crosses val="max"/>
        <c:crossBetween val="between"/>
      </c:valAx>
      <c:catAx>
        <c:axId val="72465408"/>
        <c:scaling>
          <c:orientation val="minMax"/>
        </c:scaling>
        <c:delete val="1"/>
        <c:axPos val="b"/>
        <c:numFmt formatCode="General" sourceLinked="1"/>
        <c:majorTickMark val="out"/>
        <c:minorTickMark val="none"/>
        <c:tickLblPos val="none"/>
        <c:crossAx val="72463488"/>
        <c:crosses val="autoZero"/>
        <c:auto val="1"/>
        <c:lblAlgn val="ctr"/>
        <c:lblOffset val="100"/>
        <c:noMultiLvlLbl val="0"/>
      </c:catAx>
      <c:spPr>
        <a:ln w="3175">
          <a:solidFill>
            <a:srgbClr val="000000"/>
          </a:solidFill>
        </a:ln>
      </c:spPr>
    </c:plotArea>
    <c:legend>
      <c:legendPos val="b"/>
      <c:layout>
        <c:manualLayout>
          <c:xMode val="edge"/>
          <c:yMode val="edge"/>
          <c:x val="2.535666666666667E-2"/>
          <c:y val="0.90125679012345683"/>
          <c:w val="0.95210888888888889"/>
          <c:h val="7.522469135802469E-2"/>
        </c:manualLayout>
      </c:layout>
      <c:overlay val="0"/>
    </c:legend>
    <c:plotVisOnly val="1"/>
    <c:dispBlanksAs val="gap"/>
    <c:showDLblsOverMax val="0"/>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4803149606299923" l="0.70866141732284282" r="0.70866141732284282" t="0.74803149606299923" header="0.31496062992126639" footer="0.3149606299212663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2.2'!$B$34</c:f>
              <c:strCache>
                <c:ptCount val="1"/>
                <c:pt idx="0">
                  <c:v>Loss</c:v>
                </c:pt>
              </c:strCache>
            </c:strRef>
          </c:tx>
          <c:spPr>
            <a:solidFill>
              <a:schemeClr val="bg1">
                <a:lumMod val="50000"/>
              </a:schemeClr>
            </a:solidFill>
            <a:ln>
              <a:solidFill>
                <a:schemeClr val="tx1"/>
              </a:solidFill>
            </a:ln>
          </c:spPr>
          <c:invertIfNegative val="0"/>
          <c:cat>
            <c:strRef>
              <c:f>'Fig 2.2'!$C$33:$E$33</c:f>
              <c:strCache>
                <c:ptCount val="3"/>
                <c:pt idx="0">
                  <c:v>Number</c:v>
                </c:pt>
                <c:pt idx="1">
                  <c:v>Taxable income</c:v>
                </c:pt>
                <c:pt idx="2">
                  <c:v>Tax paid</c:v>
                </c:pt>
              </c:strCache>
            </c:strRef>
          </c:cat>
          <c:val>
            <c:numRef>
              <c:f>'Fig 2.2'!$C$34:$E$34</c:f>
              <c:numCache>
                <c:formatCode>0.0%</c:formatCode>
                <c:ptCount val="3"/>
                <c:pt idx="0">
                  <c:v>4.1524746354249152E-2</c:v>
                </c:pt>
                <c:pt idx="1">
                  <c:v>0</c:v>
                </c:pt>
                <c:pt idx="2">
                  <c:v>2.6985849601013179E-5</c:v>
                </c:pt>
              </c:numCache>
            </c:numRef>
          </c:val>
        </c:ser>
        <c:ser>
          <c:idx val="1"/>
          <c:order val="1"/>
          <c:tx>
            <c:strRef>
              <c:f>'Fig 2.2'!$B$35</c:f>
              <c:strCache>
                <c:ptCount val="1"/>
                <c:pt idx="0">
                  <c:v>R0 to R60 000</c:v>
                </c:pt>
              </c:strCache>
            </c:strRef>
          </c:tx>
          <c:spPr>
            <a:solidFill>
              <a:schemeClr val="accent2">
                <a:lumMod val="40000"/>
                <a:lumOff val="60000"/>
              </a:schemeClr>
            </a:solidFill>
            <a:ln>
              <a:solidFill>
                <a:schemeClr val="tx1"/>
              </a:solidFill>
            </a:ln>
          </c:spPr>
          <c:invertIfNegative val="0"/>
          <c:cat>
            <c:strRef>
              <c:f>'Fig 2.2'!$C$33:$E$33</c:f>
              <c:strCache>
                <c:ptCount val="3"/>
                <c:pt idx="0">
                  <c:v>Number</c:v>
                </c:pt>
                <c:pt idx="1">
                  <c:v>Taxable income</c:v>
                </c:pt>
                <c:pt idx="2">
                  <c:v>Tax paid</c:v>
                </c:pt>
              </c:strCache>
            </c:strRef>
          </c:cat>
          <c:val>
            <c:numRef>
              <c:f>'Fig 2.2'!$C$35:$E$35</c:f>
              <c:numCache>
                <c:formatCode>0.0%</c:formatCode>
                <c:ptCount val="3"/>
                <c:pt idx="0">
                  <c:v>0.14138835798940802</c:v>
                </c:pt>
                <c:pt idx="1">
                  <c:v>2.3228304971797568E-2</c:v>
                </c:pt>
                <c:pt idx="2">
                  <c:v>7.2902643428795542E-5</c:v>
                </c:pt>
              </c:numCache>
            </c:numRef>
          </c:val>
        </c:ser>
        <c:ser>
          <c:idx val="2"/>
          <c:order val="2"/>
          <c:tx>
            <c:strRef>
              <c:f>'Fig 2.2'!$B$36</c:f>
              <c:strCache>
                <c:ptCount val="1"/>
                <c:pt idx="0">
                  <c:v>R60 000 to R120 000</c:v>
                </c:pt>
              </c:strCache>
            </c:strRef>
          </c:tx>
          <c:spPr>
            <a:solidFill>
              <a:srgbClr val="993300"/>
            </a:solidFill>
            <a:ln>
              <a:solidFill>
                <a:schemeClr val="tx1"/>
              </a:solidFill>
            </a:ln>
          </c:spPr>
          <c:invertIfNegative val="0"/>
          <c:cat>
            <c:strRef>
              <c:f>'Fig 2.2'!$C$33:$E$33</c:f>
              <c:strCache>
                <c:ptCount val="3"/>
                <c:pt idx="0">
                  <c:v>Number</c:v>
                </c:pt>
                <c:pt idx="1">
                  <c:v>Taxable income</c:v>
                </c:pt>
                <c:pt idx="2">
                  <c:v>Tax paid</c:v>
                </c:pt>
              </c:strCache>
            </c:strRef>
          </c:cat>
          <c:val>
            <c:numRef>
              <c:f>'Fig 2.2'!$C$36:$E$36</c:f>
              <c:numCache>
                <c:formatCode>0.0%</c:formatCode>
                <c:ptCount val="3"/>
                <c:pt idx="0">
                  <c:v>0.24374247167352459</c:v>
                </c:pt>
                <c:pt idx="1">
                  <c:v>0.10661773818566284</c:v>
                </c:pt>
                <c:pt idx="2">
                  <c:v>3.0131301496337248E-2</c:v>
                </c:pt>
              </c:numCache>
            </c:numRef>
          </c:val>
        </c:ser>
        <c:ser>
          <c:idx val="3"/>
          <c:order val="3"/>
          <c:tx>
            <c:strRef>
              <c:f>'Fig 2.2'!$B$37</c:f>
              <c:strCache>
                <c:ptCount val="1"/>
                <c:pt idx="0">
                  <c:v>R120 000 to R500 000</c:v>
                </c:pt>
              </c:strCache>
            </c:strRef>
          </c:tx>
          <c:spPr>
            <a:solidFill>
              <a:srgbClr val="004F87"/>
            </a:solidFill>
            <a:ln>
              <a:solidFill>
                <a:schemeClr val="tx1"/>
              </a:solidFill>
            </a:ln>
          </c:spPr>
          <c:invertIfNegative val="0"/>
          <c:cat>
            <c:strRef>
              <c:f>'Fig 2.2'!$C$33:$E$33</c:f>
              <c:strCache>
                <c:ptCount val="3"/>
                <c:pt idx="0">
                  <c:v>Number</c:v>
                </c:pt>
                <c:pt idx="1">
                  <c:v>Taxable income</c:v>
                </c:pt>
                <c:pt idx="2">
                  <c:v>Tax paid</c:v>
                </c:pt>
              </c:strCache>
            </c:strRef>
          </c:cat>
          <c:val>
            <c:numRef>
              <c:f>'Fig 2.2'!$C$37:$E$37</c:f>
              <c:numCache>
                <c:formatCode>0.0%</c:formatCode>
                <c:ptCount val="3"/>
                <c:pt idx="0">
                  <c:v>0.50703466010676546</c:v>
                </c:pt>
                <c:pt idx="1">
                  <c:v>0.56626775345147939</c:v>
                </c:pt>
                <c:pt idx="2">
                  <c:v>0.47728960923506913</c:v>
                </c:pt>
              </c:numCache>
            </c:numRef>
          </c:val>
        </c:ser>
        <c:ser>
          <c:idx val="4"/>
          <c:order val="4"/>
          <c:tx>
            <c:strRef>
              <c:f>'Fig 2.2'!$B$38</c:f>
              <c:strCache>
                <c:ptCount val="1"/>
                <c:pt idx="0">
                  <c:v>R500 000 +</c:v>
                </c:pt>
              </c:strCache>
            </c:strRef>
          </c:tx>
          <c:spPr>
            <a:solidFill>
              <a:srgbClr val="99CCFF"/>
            </a:solidFill>
            <a:ln>
              <a:solidFill>
                <a:schemeClr val="tx1"/>
              </a:solidFill>
            </a:ln>
          </c:spPr>
          <c:invertIfNegative val="0"/>
          <c:cat>
            <c:strRef>
              <c:f>'Fig 2.2'!$C$33:$E$33</c:f>
              <c:strCache>
                <c:ptCount val="3"/>
                <c:pt idx="0">
                  <c:v>Number</c:v>
                </c:pt>
                <c:pt idx="1">
                  <c:v>Taxable income</c:v>
                </c:pt>
                <c:pt idx="2">
                  <c:v>Tax paid</c:v>
                </c:pt>
              </c:strCache>
            </c:strRef>
          </c:cat>
          <c:val>
            <c:numRef>
              <c:f>'Fig 2.2'!$C$38:$E$38</c:f>
              <c:numCache>
                <c:formatCode>0.0%</c:formatCode>
                <c:ptCount val="3"/>
                <c:pt idx="0">
                  <c:v>6.6309763876052794E-2</c:v>
                </c:pt>
                <c:pt idx="1">
                  <c:v>0.30388620339106004</c:v>
                </c:pt>
                <c:pt idx="2">
                  <c:v>0.49247920077556379</c:v>
                </c:pt>
              </c:numCache>
            </c:numRef>
          </c:val>
        </c:ser>
        <c:dLbls>
          <c:showLegendKey val="0"/>
          <c:showVal val="0"/>
          <c:showCatName val="0"/>
          <c:showSerName val="0"/>
          <c:showPercent val="0"/>
          <c:showBubbleSize val="0"/>
        </c:dLbls>
        <c:gapWidth val="52"/>
        <c:overlap val="100"/>
        <c:axId val="72391296"/>
        <c:axId val="72405376"/>
      </c:barChart>
      <c:catAx>
        <c:axId val="72391296"/>
        <c:scaling>
          <c:orientation val="minMax"/>
        </c:scaling>
        <c:delete val="0"/>
        <c:axPos val="b"/>
        <c:numFmt formatCode="General" sourceLinked="1"/>
        <c:majorTickMark val="out"/>
        <c:minorTickMark val="none"/>
        <c:tickLblPos val="nextTo"/>
        <c:spPr>
          <a:ln w="3175">
            <a:solidFill>
              <a:schemeClr val="tx1"/>
            </a:solidFill>
          </a:ln>
        </c:spPr>
        <c:crossAx val="72405376"/>
        <c:crosses val="autoZero"/>
        <c:auto val="1"/>
        <c:lblAlgn val="ctr"/>
        <c:lblOffset val="100"/>
        <c:noMultiLvlLbl val="0"/>
      </c:catAx>
      <c:valAx>
        <c:axId val="72405376"/>
        <c:scaling>
          <c:orientation val="minMax"/>
          <c:max val="1"/>
          <c:min val="0"/>
        </c:scaling>
        <c:delete val="0"/>
        <c:axPos val="l"/>
        <c:numFmt formatCode="0%" sourceLinked="0"/>
        <c:majorTickMark val="out"/>
        <c:minorTickMark val="none"/>
        <c:tickLblPos val="nextTo"/>
        <c:spPr>
          <a:ln w="3175">
            <a:solidFill>
              <a:schemeClr val="tx1"/>
            </a:solidFill>
          </a:ln>
        </c:spPr>
        <c:crossAx val="72391296"/>
        <c:crosses val="autoZero"/>
        <c:crossBetween val="between"/>
        <c:majorUnit val="0.2"/>
      </c:valAx>
      <c:spPr>
        <a:ln w="3175">
          <a:solidFill>
            <a:schemeClr val="tx1"/>
          </a:solidFill>
        </a:ln>
      </c:spPr>
    </c:plotArea>
    <c:legend>
      <c:legendPos val="b"/>
      <c:layout>
        <c:manualLayout>
          <c:xMode val="edge"/>
          <c:yMode val="edge"/>
          <c:x val="3.405490637428598E-2"/>
          <c:y val="0.93334744907130696"/>
          <c:w val="0.93189018725142803"/>
          <c:h val="4.7467903480578492E-2"/>
        </c:manualLayout>
      </c:layout>
      <c:overlay val="0"/>
      <c:txPr>
        <a:bodyPr/>
        <a:lstStyle/>
        <a:p>
          <a:pPr>
            <a:defRPr sz="800"/>
          </a:pPr>
          <a:endParaRPr lang="en-US"/>
        </a:p>
      </c:txPr>
    </c:legend>
    <c:plotVisOnly val="1"/>
    <c:dispBlanksAs val="gap"/>
    <c:showDLblsOverMax val="0"/>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2987236338487"/>
          <c:y val="4.4510450248128705E-2"/>
          <c:w val="0.85243948360845678"/>
          <c:h val="0.81160462962962965"/>
        </c:manualLayout>
      </c:layout>
      <c:barChart>
        <c:barDir val="col"/>
        <c:grouping val="clustered"/>
        <c:varyColors val="0"/>
        <c:ser>
          <c:idx val="3"/>
          <c:order val="0"/>
          <c:tx>
            <c:strRef>
              <c:f>'Fig 2.4'!$C$26</c:f>
              <c:strCache>
                <c:ptCount val="1"/>
                <c:pt idx="0">
                  <c:v>2009</c:v>
                </c:pt>
              </c:strCache>
            </c:strRef>
          </c:tx>
          <c:spPr>
            <a:solidFill>
              <a:srgbClr val="993300"/>
            </a:solidFill>
            <a:ln w="12700">
              <a:solidFill>
                <a:srgbClr val="000000"/>
              </a:solidFill>
              <a:prstDash val="solid"/>
            </a:ln>
          </c:spPr>
          <c:invertIfNegative val="0"/>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2.4'!$C$38:$C$45</c:f>
              <c:numCache>
                <c:formatCode>0.0%</c:formatCode>
                <c:ptCount val="8"/>
                <c:pt idx="0">
                  <c:v>3.8139422569906183E-3</c:v>
                </c:pt>
                <c:pt idx="1">
                  <c:v>2.4216857013662416E-2</c:v>
                </c:pt>
                <c:pt idx="2">
                  <c:v>0.22447747145007255</c:v>
                </c:pt>
                <c:pt idx="3">
                  <c:v>0.28492699209732664</c:v>
                </c:pt>
                <c:pt idx="4">
                  <c:v>0.23665411974301828</c:v>
                </c:pt>
                <c:pt idx="5">
                  <c:v>0.14101486003061084</c:v>
                </c:pt>
                <c:pt idx="6">
                  <c:v>5.7135503168135357E-2</c:v>
                </c:pt>
                <c:pt idx="7">
                  <c:v>2.7760254240183298E-2</c:v>
                </c:pt>
              </c:numCache>
            </c:numRef>
          </c:val>
        </c:ser>
        <c:ser>
          <c:idx val="4"/>
          <c:order val="1"/>
          <c:tx>
            <c:strRef>
              <c:f>'Fig 2.4'!$D$26</c:f>
              <c:strCache>
                <c:ptCount val="1"/>
                <c:pt idx="0">
                  <c:v>2010</c:v>
                </c:pt>
              </c:strCache>
            </c:strRef>
          </c:tx>
          <c:spPr>
            <a:solidFill>
              <a:schemeClr val="bg1">
                <a:lumMod val="65000"/>
              </a:schemeClr>
            </a:solidFill>
            <a:ln>
              <a:solidFill>
                <a:srgbClr val="000000"/>
              </a:solidFill>
            </a:ln>
          </c:spPr>
          <c:invertIfNegative val="0"/>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2.4'!$D$38:$D$45</c:f>
              <c:numCache>
                <c:formatCode>0.0%</c:formatCode>
                <c:ptCount val="8"/>
                <c:pt idx="0">
                  <c:v>3.5786848817908339E-3</c:v>
                </c:pt>
                <c:pt idx="1">
                  <c:v>2.3021826398894104E-2</c:v>
                </c:pt>
                <c:pt idx="2">
                  <c:v>0.23029883888180444</c:v>
                </c:pt>
                <c:pt idx="3">
                  <c:v>0.28167662956222839</c:v>
                </c:pt>
                <c:pt idx="4">
                  <c:v>0.23359801085981607</c:v>
                </c:pt>
                <c:pt idx="5">
                  <c:v>0.14266574535374776</c:v>
                </c:pt>
                <c:pt idx="6">
                  <c:v>5.7331335555840801E-2</c:v>
                </c:pt>
                <c:pt idx="7">
                  <c:v>2.7828928505877568E-2</c:v>
                </c:pt>
              </c:numCache>
            </c:numRef>
          </c:val>
        </c:ser>
        <c:ser>
          <c:idx val="0"/>
          <c:order val="2"/>
          <c:tx>
            <c:strRef>
              <c:f>'Fig 2.4'!$E$26</c:f>
              <c:strCache>
                <c:ptCount val="1"/>
                <c:pt idx="0">
                  <c:v>2011</c:v>
                </c:pt>
              </c:strCache>
            </c:strRef>
          </c:tx>
          <c:spPr>
            <a:solidFill>
              <a:schemeClr val="tx2"/>
            </a:solidFill>
            <a:ln>
              <a:solidFill>
                <a:srgbClr val="000000"/>
              </a:solidFill>
            </a:ln>
          </c:spPr>
          <c:invertIfNegative val="0"/>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2.4'!$E$38:$E$45</c:f>
              <c:numCache>
                <c:formatCode>0.0%</c:formatCode>
                <c:ptCount val="8"/>
                <c:pt idx="0">
                  <c:v>3.3700301575578535E-3</c:v>
                </c:pt>
                <c:pt idx="1">
                  <c:v>2.487190731166913E-2</c:v>
                </c:pt>
                <c:pt idx="2">
                  <c:v>0.24113506277695718</c:v>
                </c:pt>
                <c:pt idx="3">
                  <c:v>0.27794016955933037</c:v>
                </c:pt>
                <c:pt idx="4">
                  <c:v>0.22781265386509109</c:v>
                </c:pt>
                <c:pt idx="5">
                  <c:v>0.13984394233136385</c:v>
                </c:pt>
                <c:pt idx="6">
                  <c:v>5.6883731843919254E-2</c:v>
                </c:pt>
                <c:pt idx="7">
                  <c:v>2.8142502154111276E-2</c:v>
                </c:pt>
              </c:numCache>
            </c:numRef>
          </c:val>
        </c:ser>
        <c:ser>
          <c:idx val="1"/>
          <c:order val="3"/>
          <c:tx>
            <c:strRef>
              <c:f>'Fig 2.4'!$F$26</c:f>
              <c:strCache>
                <c:ptCount val="1"/>
                <c:pt idx="0">
                  <c:v>2012</c:v>
                </c:pt>
              </c:strCache>
            </c:strRef>
          </c:tx>
          <c:spPr>
            <a:solidFill>
              <a:schemeClr val="tx2">
                <a:lumMod val="40000"/>
                <a:lumOff val="60000"/>
              </a:schemeClr>
            </a:solidFill>
            <a:ln>
              <a:solidFill>
                <a:srgbClr val="000000"/>
              </a:solidFill>
            </a:ln>
          </c:spPr>
          <c:invertIfNegative val="0"/>
          <c:cat>
            <c:strRef>
              <c:f>'Fig 2.4'!$B$38:$B$45</c:f>
              <c:strCache>
                <c:ptCount val="8"/>
                <c:pt idx="0">
                  <c:v>Below 18</c:v>
                </c:pt>
                <c:pt idx="1">
                  <c:v>18 - 24</c:v>
                </c:pt>
                <c:pt idx="2">
                  <c:v>25 - 34</c:v>
                </c:pt>
                <c:pt idx="3">
                  <c:v>35 - 44</c:v>
                </c:pt>
                <c:pt idx="4">
                  <c:v>45 - 54</c:v>
                </c:pt>
                <c:pt idx="5">
                  <c:v>55 - 64</c:v>
                </c:pt>
                <c:pt idx="6">
                  <c:v>65 - 74</c:v>
                </c:pt>
                <c:pt idx="7">
                  <c:v>75 and older</c:v>
                </c:pt>
              </c:strCache>
            </c:strRef>
          </c:cat>
          <c:val>
            <c:numRef>
              <c:f>'Fig 2.4'!$F$38:$F$45</c:f>
              <c:numCache>
                <c:formatCode>0.0%</c:formatCode>
                <c:ptCount val="8"/>
                <c:pt idx="0">
                  <c:v>3.1960333635657288E-3</c:v>
                </c:pt>
                <c:pt idx="1">
                  <c:v>2.4029958065520836E-2</c:v>
                </c:pt>
                <c:pt idx="2">
                  <c:v>0.24472853194868571</c:v>
                </c:pt>
                <c:pt idx="3">
                  <c:v>0.27533672774028145</c:v>
                </c:pt>
                <c:pt idx="4">
                  <c:v>0.2264551925949751</c:v>
                </c:pt>
                <c:pt idx="5">
                  <c:v>0.14157746543943892</c:v>
                </c:pt>
                <c:pt idx="6">
                  <c:v>5.6544693666486109E-2</c:v>
                </c:pt>
                <c:pt idx="7">
                  <c:v>2.8131397181046108E-2</c:v>
                </c:pt>
              </c:numCache>
            </c:numRef>
          </c:val>
        </c:ser>
        <c:dLbls>
          <c:showLegendKey val="0"/>
          <c:showVal val="0"/>
          <c:showCatName val="0"/>
          <c:showSerName val="0"/>
          <c:showPercent val="0"/>
          <c:showBubbleSize val="0"/>
        </c:dLbls>
        <c:gapWidth val="150"/>
        <c:axId val="72585984"/>
        <c:axId val="72587904"/>
      </c:barChart>
      <c:catAx>
        <c:axId val="72585984"/>
        <c:scaling>
          <c:orientation val="minMax"/>
        </c:scaling>
        <c:delete val="0"/>
        <c:axPos val="b"/>
        <c:title>
          <c:tx>
            <c:rich>
              <a:bodyPr/>
              <a:lstStyle/>
              <a:p>
                <a:pPr>
                  <a:defRPr b="1"/>
                </a:pPr>
                <a:r>
                  <a:rPr lang="en-US" b="1"/>
                  <a:t>Age group</a:t>
                </a:r>
              </a:p>
            </c:rich>
          </c:tx>
          <c:layout>
            <c:manualLayout>
              <c:xMode val="edge"/>
              <c:yMode val="edge"/>
              <c:x val="0.50847556484817935"/>
              <c:y val="0.925817269873906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2587904"/>
        <c:crosses val="autoZero"/>
        <c:auto val="1"/>
        <c:lblAlgn val="ctr"/>
        <c:lblOffset val="100"/>
        <c:tickLblSkip val="1"/>
        <c:tickMarkSkip val="1"/>
        <c:noMultiLvlLbl val="0"/>
      </c:catAx>
      <c:valAx>
        <c:axId val="72587904"/>
        <c:scaling>
          <c:orientation val="minMax"/>
          <c:max val="0.30000000000000032"/>
        </c:scaling>
        <c:delete val="0"/>
        <c:axPos val="l"/>
        <c:title>
          <c:tx>
            <c:rich>
              <a:bodyPr/>
              <a:lstStyle/>
              <a:p>
                <a:pPr>
                  <a:defRPr b="1"/>
                </a:pPr>
                <a:r>
                  <a:rPr lang="en-US" b="1"/>
                  <a:t>Percentage number of taxpayers</a:t>
                </a:r>
              </a:p>
            </c:rich>
          </c:tx>
          <c:layout>
            <c:manualLayout>
              <c:xMode val="edge"/>
              <c:yMode val="edge"/>
              <c:x val="9.4161958568738727E-3"/>
              <c:y val="0.261127907972939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72585984"/>
        <c:crosses val="autoZero"/>
        <c:crossBetween val="between"/>
      </c:valAx>
      <c:spPr>
        <a:noFill/>
        <a:ln w="3175">
          <a:solidFill>
            <a:sysClr val="windowText" lastClr="000000"/>
          </a:solidFill>
        </a:ln>
      </c:spPr>
    </c:plotArea>
    <c:legend>
      <c:legendPos val="b"/>
      <c:layout>
        <c:manualLayout>
          <c:xMode val="edge"/>
          <c:yMode val="edge"/>
          <c:x val="0.71573711111111116"/>
          <c:y val="9.3641975308641962E-2"/>
          <c:w val="0.23854333333333338"/>
          <c:h val="0.12860833333333335"/>
        </c:manualLayout>
      </c:layout>
      <c:overlay val="0"/>
      <c:spPr>
        <a:solidFill>
          <a:srgbClr val="FFFFFF"/>
        </a:solidFill>
        <a:ln w="3175">
          <a:noFill/>
          <a:prstDash val="solid"/>
        </a:ln>
      </c:spPr>
    </c:legend>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7402222222222"/>
          <c:y val="2.7210884353741478E-2"/>
          <c:w val="0.69844799999999996"/>
          <c:h val="0.87623707750818736"/>
        </c:manualLayout>
      </c:layout>
      <c:barChart>
        <c:barDir val="bar"/>
        <c:grouping val="percentStacked"/>
        <c:varyColors val="0"/>
        <c:ser>
          <c:idx val="0"/>
          <c:order val="0"/>
          <c:tx>
            <c:strRef>
              <c:f>'Fig 2.5'!$D$28</c:f>
              <c:strCache>
                <c:ptCount val="1"/>
                <c:pt idx="0">
                  <c:v>Females</c:v>
                </c:pt>
              </c:strCache>
            </c:strRef>
          </c:tx>
          <c:spPr>
            <a:solidFill>
              <a:srgbClr val="991F00"/>
            </a:solidFill>
            <a:ln>
              <a:solidFill>
                <a:schemeClr val="tx1"/>
              </a:solidFill>
            </a:ln>
          </c:spPr>
          <c:invertIfNegative val="0"/>
          <c:dLbls>
            <c:dLbl>
              <c:idx val="11"/>
              <c:layout/>
              <c:tx>
                <c:rich>
                  <a:bodyPr/>
                  <a:lstStyle/>
                  <a:p>
                    <a:pPr>
                      <a:defRPr sz="700" b="1">
                        <a:solidFill>
                          <a:schemeClr val="bg1"/>
                        </a:solidFill>
                      </a:defRPr>
                    </a:pPr>
                    <a:r>
                      <a:rPr lang="en-US" b="1"/>
                      <a:t> 2 226 693 (43.6%) </a:t>
                    </a:r>
                  </a:p>
                </c:rich>
              </c:tx>
              <c:spPr/>
              <c:showLegendKey val="0"/>
              <c:showVal val="1"/>
              <c:showCatName val="0"/>
              <c:showSerName val="0"/>
              <c:showPercent val="0"/>
              <c:showBubbleSize val="0"/>
            </c:dLbl>
            <c:txPr>
              <a:bodyPr/>
              <a:lstStyle/>
              <a:p>
                <a:pPr>
                  <a:defRPr sz="700" b="0">
                    <a:solidFill>
                      <a:schemeClr val="bg1"/>
                    </a:solidFill>
                  </a:defRPr>
                </a:pPr>
                <a:endParaRPr lang="en-US"/>
              </a:p>
            </c:txPr>
            <c:showLegendKey val="0"/>
            <c:showVal val="1"/>
            <c:showCatName val="0"/>
            <c:showSerName val="0"/>
            <c:showPercent val="0"/>
            <c:showBubbleSize val="0"/>
            <c:showLeaderLines val="0"/>
          </c:dLbls>
          <c:cat>
            <c:strRef>
              <c:f>'Fig 2.5'!$C$29:$C$40</c:f>
              <c:strCache>
                <c:ptCount val="12"/>
                <c:pt idx="0">
                  <c:v>&lt;= 0</c:v>
                </c:pt>
                <c:pt idx="1">
                  <c:v>1 – 60 000</c:v>
                </c:pt>
                <c:pt idx="2">
                  <c:v>60 001 – 120 000</c:v>
                </c:pt>
                <c:pt idx="3">
                  <c:v>120 001 – 200 000</c:v>
                </c:pt>
                <c:pt idx="4">
                  <c:v>200 001 – 500 000</c:v>
                </c:pt>
                <c:pt idx="5">
                  <c:v>500 001 – 750 000</c:v>
                </c:pt>
                <c:pt idx="6">
                  <c:v>750 001 – 1 000 000</c:v>
                </c:pt>
                <c:pt idx="7">
                  <c:v>1 000 001 – 2 000 000</c:v>
                </c:pt>
                <c:pt idx="8">
                  <c:v>2 000 001 – 5 000 000</c:v>
                </c:pt>
                <c:pt idx="9">
                  <c:v>5 000 001 +</c:v>
                </c:pt>
                <c:pt idx="11">
                  <c:v>Total</c:v>
                </c:pt>
              </c:strCache>
            </c:strRef>
          </c:cat>
          <c:val>
            <c:numRef>
              <c:f>'Fig 2.5'!$D$29:$D$40</c:f>
              <c:numCache>
                <c:formatCode>_ * #,##0_ ;_ * \-#,##0_ ;_ * "-"??_ ;_ @_ </c:formatCode>
                <c:ptCount val="12"/>
                <c:pt idx="0">
                  <c:v>87757</c:v>
                </c:pt>
                <c:pt idx="1">
                  <c:v>329637</c:v>
                </c:pt>
                <c:pt idx="2">
                  <c:v>577608</c:v>
                </c:pt>
                <c:pt idx="3">
                  <c:v>618889</c:v>
                </c:pt>
                <c:pt idx="4">
                  <c:v>534855</c:v>
                </c:pt>
                <c:pt idx="5">
                  <c:v>51849</c:v>
                </c:pt>
                <c:pt idx="6">
                  <c:v>14569</c:v>
                </c:pt>
                <c:pt idx="7">
                  <c:v>9705</c:v>
                </c:pt>
                <c:pt idx="8">
                  <c:v>1606</c:v>
                </c:pt>
                <c:pt idx="9">
                  <c:v>218</c:v>
                </c:pt>
                <c:pt idx="11">
                  <c:v>2226693</c:v>
                </c:pt>
              </c:numCache>
            </c:numRef>
          </c:val>
        </c:ser>
        <c:ser>
          <c:idx val="1"/>
          <c:order val="1"/>
          <c:tx>
            <c:strRef>
              <c:f>'Fig 2.5'!$E$28</c:f>
              <c:strCache>
                <c:ptCount val="1"/>
                <c:pt idx="0">
                  <c:v>Males</c:v>
                </c:pt>
              </c:strCache>
            </c:strRef>
          </c:tx>
          <c:spPr>
            <a:solidFill>
              <a:schemeClr val="tx2"/>
            </a:solidFill>
            <a:ln>
              <a:solidFill>
                <a:schemeClr val="tx1"/>
              </a:solidFill>
            </a:ln>
          </c:spPr>
          <c:invertIfNegative val="0"/>
          <c:dLbls>
            <c:dLbl>
              <c:idx val="11"/>
              <c:layout/>
              <c:tx>
                <c:rich>
                  <a:bodyPr/>
                  <a:lstStyle/>
                  <a:p>
                    <a:pPr>
                      <a:defRPr sz="700" b="1">
                        <a:solidFill>
                          <a:schemeClr val="bg1"/>
                        </a:solidFill>
                      </a:defRPr>
                    </a:pPr>
                    <a:r>
                      <a:rPr lang="en-US" b="1"/>
                      <a:t> 2 881 514  (56.4%)</a:t>
                    </a:r>
                  </a:p>
                </c:rich>
              </c:tx>
              <c:spPr/>
              <c:showLegendKey val="0"/>
              <c:showVal val="1"/>
              <c:showCatName val="0"/>
              <c:showSerName val="0"/>
              <c:showPercent val="0"/>
              <c:showBubbleSize val="0"/>
            </c:dLbl>
            <c:txPr>
              <a:bodyPr/>
              <a:lstStyle/>
              <a:p>
                <a:pPr>
                  <a:defRPr sz="700" b="0">
                    <a:solidFill>
                      <a:schemeClr val="bg1"/>
                    </a:solidFill>
                  </a:defRPr>
                </a:pPr>
                <a:endParaRPr lang="en-US"/>
              </a:p>
            </c:txPr>
            <c:showLegendKey val="0"/>
            <c:showVal val="1"/>
            <c:showCatName val="0"/>
            <c:showSerName val="0"/>
            <c:showPercent val="0"/>
            <c:showBubbleSize val="0"/>
            <c:showLeaderLines val="0"/>
          </c:dLbls>
          <c:cat>
            <c:strRef>
              <c:f>'Fig 2.5'!$C$29:$C$40</c:f>
              <c:strCache>
                <c:ptCount val="12"/>
                <c:pt idx="0">
                  <c:v>&lt;= 0</c:v>
                </c:pt>
                <c:pt idx="1">
                  <c:v>1 – 60 000</c:v>
                </c:pt>
                <c:pt idx="2">
                  <c:v>60 001 – 120 000</c:v>
                </c:pt>
                <c:pt idx="3">
                  <c:v>120 001 – 200 000</c:v>
                </c:pt>
                <c:pt idx="4">
                  <c:v>200 001 – 500 000</c:v>
                </c:pt>
                <c:pt idx="5">
                  <c:v>500 001 – 750 000</c:v>
                </c:pt>
                <c:pt idx="6">
                  <c:v>750 001 – 1 000 000</c:v>
                </c:pt>
                <c:pt idx="7">
                  <c:v>1 000 001 – 2 000 000</c:v>
                </c:pt>
                <c:pt idx="8">
                  <c:v>2 000 001 – 5 000 000</c:v>
                </c:pt>
                <c:pt idx="9">
                  <c:v>5 000 001 +</c:v>
                </c:pt>
                <c:pt idx="11">
                  <c:v>Total</c:v>
                </c:pt>
              </c:strCache>
            </c:strRef>
          </c:cat>
          <c:val>
            <c:numRef>
              <c:f>'Fig 2.5'!$E$29:$E$40</c:f>
              <c:numCache>
                <c:formatCode>_ * #,##0_ ;_ * \-#,##0_ ;_ * "-"??_ ;_ @_ </c:formatCode>
                <c:ptCount val="12"/>
                <c:pt idx="0">
                  <c:v>124360</c:v>
                </c:pt>
                <c:pt idx="1">
                  <c:v>392604</c:v>
                </c:pt>
                <c:pt idx="2">
                  <c:v>667479</c:v>
                </c:pt>
                <c:pt idx="3">
                  <c:v>649625</c:v>
                </c:pt>
                <c:pt idx="4">
                  <c:v>786669</c:v>
                </c:pt>
                <c:pt idx="5">
                  <c:v>143725</c:v>
                </c:pt>
                <c:pt idx="6">
                  <c:v>53210</c:v>
                </c:pt>
                <c:pt idx="7">
                  <c:v>48457</c:v>
                </c:pt>
                <c:pt idx="8">
                  <c:v>13064</c:v>
                </c:pt>
                <c:pt idx="9">
                  <c:v>2321</c:v>
                </c:pt>
                <c:pt idx="11">
                  <c:v>2881514</c:v>
                </c:pt>
              </c:numCache>
            </c:numRef>
          </c:val>
        </c:ser>
        <c:dLbls>
          <c:showLegendKey val="0"/>
          <c:showVal val="0"/>
          <c:showCatName val="0"/>
          <c:showSerName val="0"/>
          <c:showPercent val="0"/>
          <c:showBubbleSize val="0"/>
        </c:dLbls>
        <c:gapWidth val="53"/>
        <c:overlap val="100"/>
        <c:axId val="72678784"/>
        <c:axId val="71898624"/>
      </c:barChart>
      <c:catAx>
        <c:axId val="72678784"/>
        <c:scaling>
          <c:orientation val="minMax"/>
        </c:scaling>
        <c:delete val="0"/>
        <c:axPos val="l"/>
        <c:title>
          <c:tx>
            <c:rich>
              <a:bodyPr rot="-5400000" vert="horz"/>
              <a:lstStyle/>
              <a:p>
                <a:pPr>
                  <a:defRPr/>
                </a:pPr>
                <a:r>
                  <a:rPr lang="en-US"/>
                  <a:t>Taxable income (R)</a:t>
                </a:r>
              </a:p>
            </c:rich>
          </c:tx>
          <c:layout/>
          <c:overlay val="0"/>
        </c:title>
        <c:majorTickMark val="none"/>
        <c:minorTickMark val="none"/>
        <c:tickLblPos val="low"/>
        <c:spPr>
          <a:ln w="3175">
            <a:solidFill>
              <a:schemeClr val="tx1"/>
            </a:solidFill>
          </a:ln>
        </c:spPr>
        <c:txPr>
          <a:bodyPr/>
          <a:lstStyle/>
          <a:p>
            <a:pPr>
              <a:defRPr sz="700"/>
            </a:pPr>
            <a:endParaRPr lang="en-US"/>
          </a:p>
        </c:txPr>
        <c:crossAx val="71898624"/>
        <c:crosses val="autoZero"/>
        <c:auto val="1"/>
        <c:lblAlgn val="ctr"/>
        <c:lblOffset val="100"/>
        <c:noMultiLvlLbl val="0"/>
      </c:catAx>
      <c:valAx>
        <c:axId val="71898624"/>
        <c:scaling>
          <c:orientation val="minMax"/>
          <c:max val="1"/>
          <c:min val="0"/>
        </c:scaling>
        <c:delete val="0"/>
        <c:axPos val="b"/>
        <c:numFmt formatCode="0%" sourceLinked="0"/>
        <c:majorTickMark val="out"/>
        <c:minorTickMark val="none"/>
        <c:tickLblPos val="nextTo"/>
        <c:spPr>
          <a:ln w="3175">
            <a:solidFill>
              <a:schemeClr val="tx1"/>
            </a:solidFill>
          </a:ln>
        </c:spPr>
        <c:crossAx val="72678784"/>
        <c:crosses val="autoZero"/>
        <c:crossBetween val="between"/>
      </c:valAx>
      <c:spPr>
        <a:ln>
          <a:solidFill>
            <a:sysClr val="windowText" lastClr="000000"/>
          </a:solidFill>
        </a:ln>
      </c:spPr>
    </c:plotArea>
    <c:legend>
      <c:legendPos val="b"/>
      <c:layout>
        <c:manualLayout>
          <c:xMode val="edge"/>
          <c:yMode val="edge"/>
          <c:x val="1.2129579692949585E-2"/>
          <c:y val="0.86167577267129314"/>
          <c:w val="0.17084044444444443"/>
          <c:h val="0.12482685185185186"/>
        </c:manualLayout>
      </c:layout>
      <c:overlay val="0"/>
      <c:spPr>
        <a:solidFill>
          <a:schemeClr val="bg1"/>
        </a:solidFill>
        <a:ln>
          <a:noFill/>
        </a:ln>
      </c:spPr>
    </c:legend>
    <c:plotVisOnly val="1"/>
    <c:dispBlanksAs val="gap"/>
    <c:showDLblsOverMax val="0"/>
  </c:chart>
  <c:spPr>
    <a:ln w="3175">
      <a:solidFill>
        <a:schemeClr val="tx1"/>
      </a:solidFill>
    </a:ln>
  </c:spPr>
  <c:txPr>
    <a:bodyPr/>
    <a:lstStyle/>
    <a:p>
      <a:pPr>
        <a:defRPr sz="800">
          <a:latin typeface="Arial" pitchFamily="34" charset="0"/>
          <a:cs typeface="Arial" pitchFamily="34"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67066666666668"/>
          <c:y val="8.1661728395061722E-2"/>
          <c:w val="0.54162549036210816"/>
          <c:h val="0.78704954068241473"/>
        </c:manualLayout>
      </c:layout>
      <c:pieChart>
        <c:varyColors val="1"/>
        <c:ser>
          <c:idx val="3"/>
          <c:order val="0"/>
          <c:spPr>
            <a:ln>
              <a:solidFill>
                <a:schemeClr val="tx1"/>
              </a:solidFill>
            </a:ln>
          </c:spPr>
          <c:dPt>
            <c:idx val="0"/>
            <c:bubble3D val="0"/>
            <c:spPr>
              <a:solidFill>
                <a:srgbClr val="993300"/>
              </a:solidFill>
              <a:ln>
                <a:solidFill>
                  <a:schemeClr val="tx1"/>
                </a:solidFill>
              </a:ln>
            </c:spPr>
          </c:dPt>
          <c:dPt>
            <c:idx val="1"/>
            <c:bubble3D val="0"/>
            <c:spPr>
              <a:solidFill>
                <a:schemeClr val="bg1">
                  <a:lumMod val="65000"/>
                </a:schemeClr>
              </a:solidFill>
              <a:ln>
                <a:solidFill>
                  <a:schemeClr val="tx1"/>
                </a:solidFill>
              </a:ln>
            </c:spPr>
          </c:dPt>
          <c:dPt>
            <c:idx val="2"/>
            <c:bubble3D val="0"/>
            <c:spPr>
              <a:solidFill>
                <a:srgbClr val="004F87"/>
              </a:solidFill>
              <a:ln>
                <a:solidFill>
                  <a:schemeClr val="tx1"/>
                </a:solidFill>
              </a:ln>
            </c:spPr>
          </c:dPt>
          <c:dPt>
            <c:idx val="3"/>
            <c:bubble3D val="0"/>
            <c:spPr>
              <a:solidFill>
                <a:srgbClr val="8EB4E3"/>
              </a:solidFill>
              <a:ln>
                <a:solidFill>
                  <a:schemeClr val="tx1"/>
                </a:solidFill>
              </a:ln>
            </c:spPr>
          </c:dPt>
          <c:dPt>
            <c:idx val="4"/>
            <c:bubble3D val="0"/>
            <c:spPr>
              <a:solidFill>
                <a:schemeClr val="tx1"/>
              </a:solidFill>
              <a:ln>
                <a:solidFill>
                  <a:schemeClr val="tx1"/>
                </a:solidFill>
              </a:ln>
            </c:spPr>
          </c:dPt>
          <c:dPt>
            <c:idx val="5"/>
            <c:bubble3D val="0"/>
            <c:spPr>
              <a:solidFill>
                <a:schemeClr val="accent2">
                  <a:lumMod val="40000"/>
                  <a:lumOff val="60000"/>
                </a:schemeClr>
              </a:solidFill>
              <a:ln>
                <a:solidFill>
                  <a:schemeClr val="tx1"/>
                </a:solidFill>
              </a:ln>
            </c:spPr>
          </c:dPt>
          <c:dPt>
            <c:idx val="6"/>
            <c:bubble3D val="0"/>
            <c:spPr>
              <a:solidFill>
                <a:schemeClr val="bg1"/>
              </a:solidFill>
              <a:ln>
                <a:solidFill>
                  <a:schemeClr val="tx1"/>
                </a:solidFill>
              </a:ln>
            </c:spPr>
          </c:dPt>
          <c:dPt>
            <c:idx val="7"/>
            <c:bubble3D val="0"/>
            <c:spPr>
              <a:solidFill>
                <a:schemeClr val="accent2">
                  <a:lumMod val="40000"/>
                  <a:lumOff val="60000"/>
                </a:schemeClr>
              </a:solidFill>
              <a:ln>
                <a:solidFill>
                  <a:schemeClr val="tx1"/>
                </a:solidFill>
              </a:ln>
            </c:spPr>
          </c:dPt>
          <c:dLbls>
            <c:dLbl>
              <c:idx val="0"/>
              <c:layout>
                <c:manualLayout>
                  <c:x val="-5.7347670250897948E-3"/>
                  <c:y val="-1.2500000000000001E-2"/>
                </c:manualLayout>
              </c:layout>
              <c:dLblPos val="outEnd"/>
              <c:showLegendKey val="0"/>
              <c:showVal val="1"/>
              <c:showCatName val="1"/>
              <c:showSerName val="0"/>
              <c:showPercent val="0"/>
              <c:showBubbleSize val="0"/>
              <c:separator>
</c:separator>
            </c:dLbl>
            <c:dLbl>
              <c:idx val="1"/>
              <c:layout>
                <c:manualLayout>
                  <c:x val="3.4433432889854336E-2"/>
                  <c:y val="-7.5000000000000039E-2"/>
                </c:manualLayout>
              </c:layout>
              <c:dLblPos val="bestFit"/>
              <c:showLegendKey val="0"/>
              <c:showVal val="1"/>
              <c:showCatName val="1"/>
              <c:showSerName val="0"/>
              <c:showPercent val="0"/>
              <c:showBubbleSize val="0"/>
              <c:separator>
</c:separator>
            </c:dLbl>
            <c:dLbl>
              <c:idx val="2"/>
              <c:layout>
                <c:manualLayout>
                  <c:x val="3.4463978640600995E-2"/>
                  <c:y val="-0.12916666666666668"/>
                </c:manualLayout>
              </c:layout>
              <c:dLblPos val="bestFit"/>
              <c:showLegendKey val="0"/>
              <c:showVal val="1"/>
              <c:showCatName val="1"/>
              <c:showSerName val="0"/>
              <c:showPercent val="0"/>
              <c:showBubbleSize val="0"/>
              <c:separator>
</c:separator>
            </c:dLbl>
            <c:dLbl>
              <c:idx val="3"/>
              <c:layout>
                <c:manualLayout>
                  <c:x val="5.1699022535976108E-2"/>
                  <c:y val="-4.5833661417322896E-2"/>
                </c:manualLayout>
              </c:layout>
              <c:dLblPos val="bestFit"/>
              <c:showLegendKey val="0"/>
              <c:showVal val="1"/>
              <c:showCatName val="1"/>
              <c:showSerName val="0"/>
              <c:showPercent val="0"/>
              <c:showBubbleSize val="0"/>
              <c:separator>
</c:separator>
            </c:dLbl>
            <c:dLbl>
              <c:idx val="4"/>
              <c:layout>
                <c:manualLayout>
                  <c:x val="7.0978888888888883E-2"/>
                  <c:y val="1.8858024691358024E-2"/>
                </c:manualLayout>
              </c:layout>
              <c:dLblPos val="bestFit"/>
              <c:showLegendKey val="0"/>
              <c:showVal val="1"/>
              <c:showCatName val="1"/>
              <c:showSerName val="0"/>
              <c:showPercent val="0"/>
              <c:showBubbleSize val="0"/>
              <c:separator>
</c:separator>
            </c:dLbl>
            <c:dLbl>
              <c:idx val="5"/>
              <c:layout>
                <c:manualLayout>
                  <c:x val="-2.7443555555555554E-2"/>
                  <c:y val="8.0339506172839512E-2"/>
                </c:manualLayout>
              </c:layout>
              <c:dLblPos val="bestFit"/>
              <c:showLegendKey val="0"/>
              <c:showVal val="1"/>
              <c:showCatName val="1"/>
              <c:showSerName val="0"/>
              <c:showPercent val="0"/>
              <c:showBubbleSize val="0"/>
              <c:separator>
</c:separator>
            </c:dLbl>
            <c:dLbl>
              <c:idx val="6"/>
              <c:layout>
                <c:manualLayout>
                  <c:x val="6.0049352805258305E-2"/>
                  <c:y val="3.333333333333334E-2"/>
                </c:manualLayout>
              </c:layout>
              <c:dLblPos val="bestFit"/>
              <c:showLegendKey val="0"/>
              <c:showVal val="1"/>
              <c:showCatName val="1"/>
              <c:showSerName val="0"/>
              <c:showPercent val="0"/>
              <c:showBubbleSize val="0"/>
              <c:separator>
</c:separator>
            </c:dLbl>
            <c:dLbl>
              <c:idx val="7"/>
              <c:layout>
                <c:manualLayout>
                  <c:x val="-6.6091954022988522E-2"/>
                  <c:y val="7.5000000000000011E-2"/>
                </c:manualLayout>
              </c:layout>
              <c:dLblPos val="bestFit"/>
              <c:showLegendKey val="0"/>
              <c:showVal val="1"/>
              <c:showCatName val="1"/>
              <c:showSerName val="0"/>
              <c:showPercent val="0"/>
              <c:showBubbleSize val="0"/>
              <c:separator>
</c:separator>
            </c:dLbl>
            <c:txPr>
              <a:bodyPr/>
              <a:lstStyle/>
              <a:p>
                <a:pPr>
                  <a:defRPr sz="800"/>
                </a:pPr>
                <a:endParaRPr lang="en-US"/>
              </a:p>
            </c:txPr>
            <c:dLblPos val="outEnd"/>
            <c:showLegendKey val="0"/>
            <c:showVal val="1"/>
            <c:showCatName val="1"/>
            <c:showSerName val="0"/>
            <c:showPercent val="0"/>
            <c:showBubbleSize val="0"/>
            <c:separator>
</c:separator>
            <c:showLeaderLines val="1"/>
          </c:dLbls>
          <c:cat>
            <c:strRef>
              <c:f>'Fig 2.6'!$C$28:$C$35</c:f>
              <c:strCache>
                <c:ptCount val="6"/>
                <c:pt idx="0">
                  <c:v>Income (Salaries, wages, remuneration)</c:v>
                </c:pt>
                <c:pt idx="1">
                  <c:v>Annual payment</c:v>
                </c:pt>
                <c:pt idx="2">
                  <c:v>Director's income</c:v>
                </c:pt>
                <c:pt idx="3">
                  <c:v>Commission</c:v>
                </c:pt>
                <c:pt idx="4">
                  <c:v>Local interest</c:v>
                </c:pt>
                <c:pt idx="5">
                  <c:v>All other sources of income</c:v>
                </c:pt>
              </c:strCache>
            </c:strRef>
          </c:cat>
          <c:val>
            <c:numRef>
              <c:f>'Fig 2.6'!$D$28:$D$35</c:f>
              <c:numCache>
                <c:formatCode>_ * #,##0.0%_ ;_ * \-#,##0.0%_ </c:formatCode>
                <c:ptCount val="6"/>
                <c:pt idx="0">
                  <c:v>0.79017278177491301</c:v>
                </c:pt>
                <c:pt idx="1">
                  <c:v>9.3765551924616691E-2</c:v>
                </c:pt>
                <c:pt idx="2">
                  <c:v>3.9112016738419554E-2</c:v>
                </c:pt>
                <c:pt idx="3">
                  <c:v>2.8689179157645229E-2</c:v>
                </c:pt>
                <c:pt idx="4">
                  <c:v>9.3145252051717517E-3</c:v>
                </c:pt>
                <c:pt idx="5">
                  <c:v>3.8945945199233695E-2</c:v>
                </c:pt>
              </c:numCache>
            </c:numRef>
          </c:val>
        </c:ser>
        <c:dLbls>
          <c:showLegendKey val="0"/>
          <c:showVal val="0"/>
          <c:showCatName val="0"/>
          <c:showSerName val="0"/>
          <c:showPercent val="0"/>
          <c:showBubbleSize val="0"/>
          <c:showLeaderLines val="1"/>
        </c:dLbls>
        <c:firstSliceAng val="140"/>
      </c:pieChart>
      <c:spPr>
        <a:noFill/>
        <a:ln w="25400">
          <a:noFill/>
        </a:ln>
      </c:spPr>
    </c:plotArea>
    <c:plotVisOnly val="1"/>
    <c:dispBlanksAs val="zero"/>
    <c:showDLblsOverMax val="0"/>
  </c:chart>
  <c:spPr>
    <a:no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61111111111113"/>
          <c:y val="0.1338483146067416"/>
          <c:w val="0.5072888888888889"/>
          <c:h val="0.7124843945068664"/>
        </c:manualLayout>
      </c:layout>
      <c:pieChart>
        <c:varyColors val="1"/>
        <c:ser>
          <c:idx val="0"/>
          <c:order val="0"/>
          <c:tx>
            <c:strRef>
              <c:f>'Fig 2.7'!$D$27</c:f>
              <c:strCache>
                <c:ptCount val="1"/>
                <c:pt idx="0">
                  <c:v>Tax 
assessed
(R million)</c:v>
                </c:pt>
              </c:strCache>
            </c:strRef>
          </c:tx>
          <c:spPr>
            <a:ln>
              <a:solidFill>
                <a:schemeClr val="tx1"/>
              </a:solidFill>
            </a:ln>
          </c:spPr>
          <c:dPt>
            <c:idx val="0"/>
            <c:bubble3D val="0"/>
            <c:spPr>
              <a:solidFill>
                <a:srgbClr val="993300"/>
              </a:solidFill>
              <a:ln>
                <a:solidFill>
                  <a:schemeClr val="tx1"/>
                </a:solidFill>
              </a:ln>
            </c:spPr>
          </c:dPt>
          <c:dPt>
            <c:idx val="1"/>
            <c:bubble3D val="0"/>
            <c:spPr>
              <a:solidFill>
                <a:srgbClr val="99CCFF"/>
              </a:solidFill>
              <a:ln>
                <a:solidFill>
                  <a:schemeClr val="tx1"/>
                </a:solidFill>
              </a:ln>
            </c:spPr>
          </c:dPt>
          <c:dPt>
            <c:idx val="2"/>
            <c:bubble3D val="0"/>
            <c:spPr>
              <a:solidFill>
                <a:sysClr val="window" lastClr="FFFFFF">
                  <a:lumMod val="85000"/>
                </a:sysClr>
              </a:solidFill>
              <a:ln>
                <a:solidFill>
                  <a:schemeClr val="tx1"/>
                </a:solidFill>
              </a:ln>
            </c:spPr>
          </c:dPt>
          <c:dPt>
            <c:idx val="3"/>
            <c:bubble3D val="0"/>
            <c:spPr>
              <a:solidFill>
                <a:srgbClr val="1F497D"/>
              </a:solidFill>
              <a:ln>
                <a:solidFill>
                  <a:schemeClr val="tx1"/>
                </a:solidFill>
              </a:ln>
            </c:spPr>
          </c:dPt>
          <c:dPt>
            <c:idx val="4"/>
            <c:bubble3D val="0"/>
            <c:spPr>
              <a:solidFill>
                <a:sysClr val="window" lastClr="FFFFFF">
                  <a:lumMod val="50000"/>
                </a:sysClr>
              </a:solidFill>
              <a:ln>
                <a:solidFill>
                  <a:schemeClr val="tx1"/>
                </a:solidFill>
              </a:ln>
            </c:spPr>
          </c:dPt>
          <c:dPt>
            <c:idx val="5"/>
            <c:bubble3D val="0"/>
            <c:spPr>
              <a:solidFill>
                <a:sysClr val="windowText" lastClr="000000"/>
              </a:solidFill>
              <a:ln>
                <a:solidFill>
                  <a:schemeClr val="tx1"/>
                </a:solidFill>
              </a:ln>
            </c:spPr>
          </c:dPt>
          <c:dPt>
            <c:idx val="6"/>
            <c:bubble3D val="0"/>
            <c:spPr>
              <a:solidFill>
                <a:sysClr val="window" lastClr="FFFFFF"/>
              </a:solidFill>
              <a:ln>
                <a:solidFill>
                  <a:schemeClr val="tx1"/>
                </a:solidFill>
              </a:ln>
            </c:spPr>
          </c:dPt>
          <c:dPt>
            <c:idx val="7"/>
            <c:bubble3D val="0"/>
            <c:spPr>
              <a:solidFill>
                <a:srgbClr val="C0504D">
                  <a:lumMod val="40000"/>
                  <a:lumOff val="60000"/>
                </a:srgbClr>
              </a:solidFill>
              <a:ln>
                <a:solidFill>
                  <a:schemeClr val="tx1"/>
                </a:solidFill>
              </a:ln>
            </c:spPr>
          </c:dPt>
          <c:dLbls>
            <c:dLbl>
              <c:idx val="0"/>
              <c:layout>
                <c:manualLayout>
                  <c:x val="-4.3559333333333332E-2"/>
                  <c:y val="7.4686329588014966E-2"/>
                </c:manualLayout>
              </c:layout>
              <c:showLegendKey val="0"/>
              <c:showVal val="1"/>
              <c:showCatName val="1"/>
              <c:showSerName val="0"/>
              <c:showPercent val="1"/>
              <c:showBubbleSize val="0"/>
            </c:dLbl>
            <c:dLbl>
              <c:idx val="1"/>
              <c:layout>
                <c:manualLayout>
                  <c:x val="2.5766000000000001E-2"/>
                  <c:y val="1.5855181023720348E-2"/>
                </c:manualLayout>
              </c:layout>
              <c:showLegendKey val="0"/>
              <c:showVal val="1"/>
              <c:showCatName val="1"/>
              <c:showSerName val="0"/>
              <c:showPercent val="1"/>
              <c:showBubbleSize val="0"/>
            </c:dLbl>
            <c:dLbl>
              <c:idx val="2"/>
              <c:layout>
                <c:manualLayout>
                  <c:x val="6.4386888888888993E-2"/>
                  <c:y val="-6.2174157303370788E-2"/>
                </c:manualLayout>
              </c:layout>
              <c:showLegendKey val="0"/>
              <c:showVal val="1"/>
              <c:showCatName val="1"/>
              <c:showSerName val="0"/>
              <c:showPercent val="1"/>
              <c:showBubbleSize val="0"/>
            </c:dLbl>
            <c:dLbl>
              <c:idx val="3"/>
              <c:layout>
                <c:manualLayout>
                  <c:x val="4.6003702647000683E-2"/>
                  <c:y val="-0.10101626016260162"/>
                </c:manualLayout>
              </c:layout>
              <c:showLegendKey val="0"/>
              <c:showVal val="1"/>
              <c:showCatName val="1"/>
              <c:showSerName val="0"/>
              <c:showPercent val="1"/>
              <c:showBubbleSize val="0"/>
            </c:dLbl>
            <c:dLbl>
              <c:idx val="4"/>
              <c:layout>
                <c:manualLayout>
                  <c:x val="8.3157111111111112E-2"/>
                  <c:y val="-0.11645380774032452"/>
                </c:manualLayout>
              </c:layout>
              <c:showLegendKey val="0"/>
              <c:showVal val="1"/>
              <c:showCatName val="1"/>
              <c:showSerName val="0"/>
              <c:showPercent val="1"/>
              <c:showBubbleSize val="0"/>
            </c:dLbl>
            <c:dLbl>
              <c:idx val="5"/>
              <c:layout>
                <c:manualLayout>
                  <c:x val="0.13006955555555555"/>
                  <c:y val="-9.5190387016229713E-2"/>
                </c:manualLayout>
              </c:layout>
              <c:showLegendKey val="0"/>
              <c:showVal val="1"/>
              <c:showCatName val="1"/>
              <c:showSerName val="0"/>
              <c:showPercent val="1"/>
              <c:showBubbleSize val="0"/>
            </c:dLbl>
            <c:dLbl>
              <c:idx val="6"/>
              <c:layout>
                <c:manualLayout>
                  <c:x val="0.18632266666666655"/>
                  <c:y val="3.2825842696629214E-2"/>
                </c:manualLayout>
              </c:layout>
              <c:showLegendKey val="0"/>
              <c:showVal val="1"/>
              <c:showCatName val="1"/>
              <c:showSerName val="0"/>
              <c:showPercent val="1"/>
              <c:showBubbleSize val="0"/>
            </c:dLbl>
            <c:dLbl>
              <c:idx val="7"/>
              <c:layout>
                <c:manualLayout>
                  <c:x val="3.569E-2"/>
                  <c:y val="2.0151997503121098E-2"/>
                </c:manualLayout>
              </c:layout>
              <c:showLegendKey val="0"/>
              <c:showVal val="1"/>
              <c:showCatName val="1"/>
              <c:showSerName val="0"/>
              <c:showPercent val="1"/>
              <c:showBubbleSize val="0"/>
            </c:dLbl>
            <c:numFmt formatCode="0.0%" sourceLinked="0"/>
            <c:txPr>
              <a:bodyPr/>
              <a:lstStyle/>
              <a:p>
                <a:pPr>
                  <a:defRPr sz="800">
                    <a:latin typeface="Arial" pitchFamily="34" charset="0"/>
                    <a:cs typeface="Arial" pitchFamily="34" charset="0"/>
                  </a:defRPr>
                </a:pPr>
                <a:endParaRPr lang="en-US"/>
              </a:p>
            </c:txPr>
            <c:showLegendKey val="0"/>
            <c:showVal val="1"/>
            <c:showCatName val="1"/>
            <c:showSerName val="0"/>
            <c:showPercent val="1"/>
            <c:showBubbleSize val="0"/>
            <c:showLeaderLines val="1"/>
          </c:dLbls>
          <c:cat>
            <c:strRef>
              <c:f>'Fig 2.7'!$B$28:$B$35</c:f>
              <c:strCache>
                <c:ptCount val="8"/>
                <c:pt idx="0">
                  <c:v>Financial intermediation, insurance, real-estate &amp; business services</c:v>
                </c:pt>
                <c:pt idx="1">
                  <c:v>Community, social &amp; personal services</c:v>
                </c:pt>
                <c:pt idx="2">
                  <c:v>Wholesale &amp; retail trade, catering &amp; accommodation</c:v>
                </c:pt>
                <c:pt idx="3">
                  <c:v>Manufacturing</c:v>
                </c:pt>
                <c:pt idx="4">
                  <c:v>Mining &amp; quarrying</c:v>
                </c:pt>
                <c:pt idx="5">
                  <c:v>Transport, storage &amp; communication</c:v>
                </c:pt>
                <c:pt idx="6">
                  <c:v>Construction</c:v>
                </c:pt>
                <c:pt idx="7">
                  <c:v>All other sectors</c:v>
                </c:pt>
              </c:strCache>
            </c:strRef>
          </c:cat>
          <c:val>
            <c:numRef>
              <c:f>'Fig 2.7'!$D$28:$D$35</c:f>
              <c:numCache>
                <c:formatCode>"R"#,##0.0"bn";"R"\ \-#,##0.0"bn"</c:formatCode>
                <c:ptCount val="8"/>
                <c:pt idx="0">
                  <c:v>100.50685006499999</c:v>
                </c:pt>
                <c:pt idx="1">
                  <c:v>36.450085627000007</c:v>
                </c:pt>
                <c:pt idx="2">
                  <c:v>17.400857232000003</c:v>
                </c:pt>
                <c:pt idx="3">
                  <c:v>16.228904885999999</c:v>
                </c:pt>
                <c:pt idx="4">
                  <c:v>11.127102853</c:v>
                </c:pt>
                <c:pt idx="5">
                  <c:v>7.5793449849999996</c:v>
                </c:pt>
                <c:pt idx="6">
                  <c:v>6.546304535</c:v>
                </c:pt>
                <c:pt idx="7">
                  <c:v>10.828899432000014</c:v>
                </c:pt>
              </c:numCache>
            </c:numRef>
          </c:val>
        </c:ser>
        <c:dLbls>
          <c:showLegendKey val="0"/>
          <c:showVal val="0"/>
          <c:showCatName val="1"/>
          <c:showSerName val="0"/>
          <c:showPercent val="1"/>
          <c:showBubbleSize val="0"/>
          <c:showLeaderLines val="1"/>
        </c:dLbls>
        <c:firstSliceAng val="170"/>
      </c:pieChart>
    </c:plotArea>
    <c:plotVisOnly val="1"/>
    <c:dispBlanksAs val="zero"/>
    <c:showDLblsOverMax val="0"/>
  </c:chart>
  <c:spPr>
    <a:ln w="3175">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30000000000001"/>
          <c:y val="0.18141385767790263"/>
          <c:w val="0.5072888888888889"/>
          <c:h val="0.7124843945068664"/>
        </c:manualLayout>
      </c:layout>
      <c:pieChart>
        <c:varyColors val="1"/>
        <c:ser>
          <c:idx val="0"/>
          <c:order val="0"/>
          <c:tx>
            <c:strRef>
              <c:f>'Fig 2.8'!$D$27</c:f>
              <c:strCache>
                <c:ptCount val="1"/>
                <c:pt idx="0">
                  <c:v>Tax 
assessed
(R million)</c:v>
                </c:pt>
              </c:strCache>
            </c:strRef>
          </c:tx>
          <c:spPr>
            <a:ln>
              <a:solidFill>
                <a:schemeClr val="tx1"/>
              </a:solidFill>
            </a:ln>
          </c:spPr>
          <c:dPt>
            <c:idx val="0"/>
            <c:bubble3D val="0"/>
            <c:spPr>
              <a:solidFill>
                <a:srgbClr val="993300"/>
              </a:solidFill>
              <a:ln>
                <a:solidFill>
                  <a:schemeClr val="tx1"/>
                </a:solidFill>
              </a:ln>
            </c:spPr>
          </c:dPt>
          <c:dPt>
            <c:idx val="1"/>
            <c:bubble3D val="0"/>
            <c:spPr>
              <a:solidFill>
                <a:schemeClr val="bg1">
                  <a:lumMod val="65000"/>
                </a:schemeClr>
              </a:solidFill>
              <a:ln>
                <a:solidFill>
                  <a:schemeClr val="tx1"/>
                </a:solidFill>
              </a:ln>
            </c:spPr>
          </c:dPt>
          <c:dPt>
            <c:idx val="2"/>
            <c:bubble3D val="0"/>
            <c:spPr>
              <a:solidFill>
                <a:schemeClr val="tx2"/>
              </a:solidFill>
              <a:ln>
                <a:solidFill>
                  <a:schemeClr val="tx1"/>
                </a:solidFill>
              </a:ln>
            </c:spPr>
          </c:dPt>
          <c:dPt>
            <c:idx val="3"/>
            <c:bubble3D val="0"/>
            <c:spPr>
              <a:solidFill>
                <a:schemeClr val="accent2">
                  <a:lumMod val="40000"/>
                  <a:lumOff val="60000"/>
                </a:schemeClr>
              </a:solidFill>
              <a:ln>
                <a:solidFill>
                  <a:schemeClr val="tx1"/>
                </a:solidFill>
              </a:ln>
            </c:spPr>
          </c:dPt>
          <c:dPt>
            <c:idx val="4"/>
            <c:bubble3D val="0"/>
            <c:spPr>
              <a:solidFill>
                <a:sysClr val="window" lastClr="FFFFFF">
                  <a:lumMod val="50000"/>
                </a:sysClr>
              </a:solidFill>
              <a:ln>
                <a:solidFill>
                  <a:schemeClr val="tx1"/>
                </a:solidFill>
              </a:ln>
            </c:spPr>
          </c:dPt>
          <c:dPt>
            <c:idx val="5"/>
            <c:bubble3D val="0"/>
            <c:spPr>
              <a:solidFill>
                <a:sysClr val="windowText" lastClr="000000"/>
              </a:solidFill>
              <a:ln>
                <a:solidFill>
                  <a:schemeClr val="tx1"/>
                </a:solidFill>
              </a:ln>
            </c:spPr>
          </c:dPt>
          <c:dPt>
            <c:idx val="6"/>
            <c:bubble3D val="0"/>
            <c:spPr>
              <a:solidFill>
                <a:schemeClr val="accent2">
                  <a:lumMod val="40000"/>
                  <a:lumOff val="60000"/>
                </a:schemeClr>
              </a:solidFill>
              <a:ln>
                <a:solidFill>
                  <a:schemeClr val="tx1"/>
                </a:solidFill>
              </a:ln>
            </c:spPr>
          </c:dPt>
          <c:dPt>
            <c:idx val="7"/>
            <c:bubble3D val="0"/>
            <c:spPr>
              <a:solidFill>
                <a:srgbClr val="C0504D">
                  <a:lumMod val="40000"/>
                  <a:lumOff val="60000"/>
                </a:srgbClr>
              </a:solidFill>
              <a:ln>
                <a:solidFill>
                  <a:schemeClr val="tx1"/>
                </a:solidFill>
              </a:ln>
            </c:spPr>
          </c:dPt>
          <c:dLbls>
            <c:dLbl>
              <c:idx val="0"/>
              <c:layout>
                <c:manualLayout>
                  <c:x val="-1.4574222222222223E-2"/>
                  <c:y val="-8.3865168539325838E-2"/>
                </c:manualLayout>
              </c:layout>
              <c:showLegendKey val="0"/>
              <c:showVal val="1"/>
              <c:showCatName val="1"/>
              <c:showSerName val="0"/>
              <c:showPercent val="1"/>
              <c:showBubbleSize val="0"/>
            </c:dLbl>
            <c:dLbl>
              <c:idx val="1"/>
              <c:layout>
                <c:manualLayout>
                  <c:x val="-7.8656222222222225E-2"/>
                  <c:y val="-6.3058676654182272E-3"/>
                </c:manualLayout>
              </c:layout>
              <c:showLegendKey val="0"/>
              <c:showVal val="1"/>
              <c:showCatName val="1"/>
              <c:showSerName val="0"/>
              <c:showPercent val="1"/>
              <c:showBubbleSize val="0"/>
            </c:dLbl>
            <c:dLbl>
              <c:idx val="2"/>
              <c:layout>
                <c:manualLayout>
                  <c:x val="0.11123177777777778"/>
                  <c:y val="4.3198813982521844E-2"/>
                </c:manualLayout>
              </c:layout>
              <c:showLegendKey val="0"/>
              <c:showVal val="1"/>
              <c:showCatName val="1"/>
              <c:showSerName val="0"/>
              <c:showPercent val="1"/>
              <c:showBubbleSize val="0"/>
            </c:dLbl>
            <c:dLbl>
              <c:idx val="3"/>
              <c:layout>
                <c:manualLayout>
                  <c:x val="9.1846222222222329E-2"/>
                  <c:y val="-0.19614731585518103"/>
                </c:manualLayout>
              </c:layout>
              <c:showLegendKey val="0"/>
              <c:showVal val="1"/>
              <c:showCatName val="1"/>
              <c:showSerName val="0"/>
              <c:showPercent val="1"/>
              <c:showBubbleSize val="0"/>
            </c:dLbl>
            <c:dLbl>
              <c:idx val="4"/>
              <c:layout>
                <c:manualLayout>
                  <c:x val="9.4446000000000002E-2"/>
                  <c:y val="-0.15212796504369538"/>
                </c:manualLayout>
              </c:layout>
              <c:showLegendKey val="0"/>
              <c:showVal val="1"/>
              <c:showCatName val="1"/>
              <c:showSerName val="0"/>
              <c:showPercent val="1"/>
              <c:showBubbleSize val="0"/>
            </c:dLbl>
            <c:dLbl>
              <c:idx val="5"/>
              <c:layout>
                <c:manualLayout>
                  <c:x val="6.4604222222222216E-2"/>
                  <c:y val="0.13079088639200998"/>
                </c:manualLayout>
              </c:layout>
              <c:showLegendKey val="0"/>
              <c:showVal val="1"/>
              <c:showCatName val="1"/>
              <c:showSerName val="0"/>
              <c:showPercent val="1"/>
              <c:showBubbleSize val="0"/>
            </c:dLbl>
            <c:dLbl>
              <c:idx val="6"/>
              <c:layout>
                <c:manualLayout>
                  <c:x val="8.7544888888888991E-2"/>
                  <c:y val="-2.7935705368289637E-2"/>
                </c:manualLayout>
              </c:layout>
              <c:showLegendKey val="0"/>
              <c:showVal val="1"/>
              <c:showCatName val="1"/>
              <c:showSerName val="0"/>
              <c:showPercent val="1"/>
              <c:showBubbleSize val="0"/>
            </c:dLbl>
            <c:dLbl>
              <c:idx val="7"/>
              <c:layout>
                <c:manualLayout>
                  <c:x val="-6.8732222222222125E-2"/>
                  <c:y val="0.10339169787765293"/>
                </c:manualLayout>
              </c:layout>
              <c:showLegendKey val="0"/>
              <c:showVal val="1"/>
              <c:showCatName val="1"/>
              <c:showSerName val="0"/>
              <c:showPercent val="1"/>
              <c:showBubbleSize val="0"/>
            </c:dLbl>
            <c:numFmt formatCode="0.0%" sourceLinked="0"/>
            <c:txPr>
              <a:bodyPr/>
              <a:lstStyle/>
              <a:p>
                <a:pPr>
                  <a:defRPr sz="800">
                    <a:latin typeface="Arial" pitchFamily="34" charset="0"/>
                    <a:cs typeface="Arial" pitchFamily="34" charset="0"/>
                  </a:defRPr>
                </a:pPr>
                <a:endParaRPr lang="en-US"/>
              </a:p>
            </c:txPr>
            <c:showLegendKey val="0"/>
            <c:showVal val="1"/>
            <c:showCatName val="1"/>
            <c:showSerName val="0"/>
            <c:showPercent val="1"/>
            <c:showBubbleSize val="0"/>
            <c:showLeaderLines val="1"/>
          </c:dLbls>
          <c:cat>
            <c:strRef>
              <c:f>'Fig 2.8'!$B$28:$B$31</c:f>
              <c:strCache>
                <c:ptCount val="4"/>
                <c:pt idx="0">
                  <c:v>Travel allowance</c:v>
                </c:pt>
                <c:pt idx="1">
                  <c:v>Share options exercised</c:v>
                </c:pt>
                <c:pt idx="2">
                  <c:v>Reimbursive travel allowance - taxable</c:v>
                </c:pt>
                <c:pt idx="3">
                  <c:v>All other allowances</c:v>
                </c:pt>
              </c:strCache>
            </c:strRef>
          </c:cat>
          <c:val>
            <c:numRef>
              <c:f>'Fig 2.8'!$D$28:$D$31</c:f>
              <c:numCache>
                <c:formatCode>"R"#,##0.0"bn";"R"\ \-#,##0.0"bn"</c:formatCode>
                <c:ptCount val="4"/>
                <c:pt idx="0">
                  <c:v>26.146005357</c:v>
                </c:pt>
                <c:pt idx="1">
                  <c:v>7.4840023229999995</c:v>
                </c:pt>
                <c:pt idx="2">
                  <c:v>3.548732942</c:v>
                </c:pt>
                <c:pt idx="3">
                  <c:v>45.890481608999998</c:v>
                </c:pt>
              </c:numCache>
            </c:numRef>
          </c:val>
        </c:ser>
        <c:dLbls>
          <c:showLegendKey val="0"/>
          <c:showVal val="0"/>
          <c:showCatName val="1"/>
          <c:showSerName val="0"/>
          <c:showPercent val="1"/>
          <c:showBubbleSize val="0"/>
          <c:showLeaderLines val="1"/>
        </c:dLbls>
        <c:firstSliceAng val="230"/>
      </c:pieChart>
    </c:plotArea>
    <c:plotVisOnly val="1"/>
    <c:dispBlanksAs val="zero"/>
    <c:showDLblsOverMax val="0"/>
  </c:chart>
  <c:spPr>
    <a:ln w="3175">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956444444444443"/>
          <c:y val="0.14745193508114859"/>
          <c:w val="0.51763756803125216"/>
          <c:h val="0.74968199507976863"/>
        </c:manualLayout>
      </c:layout>
      <c:pieChart>
        <c:varyColors val="1"/>
        <c:ser>
          <c:idx val="3"/>
          <c:order val="0"/>
          <c:spPr>
            <a:ln>
              <a:solidFill>
                <a:schemeClr val="tx1"/>
              </a:solidFill>
            </a:ln>
          </c:spPr>
          <c:dPt>
            <c:idx val="0"/>
            <c:bubble3D val="0"/>
            <c:spPr>
              <a:solidFill>
                <a:srgbClr val="993300"/>
              </a:solidFill>
              <a:ln>
                <a:solidFill>
                  <a:schemeClr val="tx1"/>
                </a:solidFill>
              </a:ln>
            </c:spPr>
          </c:dPt>
          <c:dPt>
            <c:idx val="1"/>
            <c:bubble3D val="0"/>
            <c:spPr>
              <a:solidFill>
                <a:srgbClr val="99CCFF"/>
              </a:solidFill>
              <a:ln>
                <a:solidFill>
                  <a:schemeClr val="tx1"/>
                </a:solidFill>
              </a:ln>
            </c:spPr>
          </c:dPt>
          <c:dPt>
            <c:idx val="2"/>
            <c:bubble3D val="0"/>
            <c:spPr>
              <a:solidFill>
                <a:srgbClr val="D9D9D9"/>
              </a:solidFill>
              <a:ln>
                <a:solidFill>
                  <a:schemeClr val="tx1"/>
                </a:solidFill>
              </a:ln>
            </c:spPr>
          </c:dPt>
          <c:dPt>
            <c:idx val="3"/>
            <c:bubble3D val="0"/>
            <c:spPr>
              <a:solidFill>
                <a:srgbClr val="1F497D"/>
              </a:solidFill>
              <a:ln>
                <a:solidFill>
                  <a:schemeClr val="tx1"/>
                </a:solidFill>
              </a:ln>
            </c:spPr>
          </c:dPt>
          <c:dPt>
            <c:idx val="4"/>
            <c:bubble3D val="0"/>
            <c:spPr>
              <a:solidFill>
                <a:srgbClr val="7F7F7F"/>
              </a:solidFill>
              <a:ln>
                <a:solidFill>
                  <a:schemeClr val="tx1"/>
                </a:solidFill>
              </a:ln>
            </c:spPr>
          </c:dPt>
          <c:dPt>
            <c:idx val="5"/>
            <c:bubble3D val="0"/>
            <c:spPr>
              <a:solidFill>
                <a:schemeClr val="tx1"/>
              </a:solidFill>
              <a:ln>
                <a:solidFill>
                  <a:schemeClr val="tx1"/>
                </a:solidFill>
              </a:ln>
            </c:spPr>
          </c:dPt>
          <c:dPt>
            <c:idx val="6"/>
            <c:bubble3D val="0"/>
            <c:spPr>
              <a:solidFill>
                <a:srgbClr val="E6B9B8"/>
              </a:solidFill>
              <a:ln>
                <a:solidFill>
                  <a:schemeClr val="tx1"/>
                </a:solidFill>
              </a:ln>
            </c:spPr>
          </c:dPt>
          <c:dLbls>
            <c:dLbl>
              <c:idx val="0"/>
              <c:layout>
                <c:manualLayout>
                  <c:x val="-4.2583999999999997E-2"/>
                  <c:y val="-2.6373907615480648E-2"/>
                </c:manualLayout>
              </c:layout>
              <c:dLblPos val="bestFit"/>
              <c:showLegendKey val="0"/>
              <c:showVal val="1"/>
              <c:showCatName val="1"/>
              <c:showSerName val="0"/>
              <c:showPercent val="1"/>
              <c:showBubbleSize val="0"/>
              <c:separator>
</c:separator>
            </c:dLbl>
            <c:dLbl>
              <c:idx val="1"/>
              <c:layout>
                <c:manualLayout>
                  <c:x val="-0.19317111111111113"/>
                  <c:y val="8.3239700374531836E-2"/>
                </c:manualLayout>
              </c:layout>
              <c:dLblPos val="bestFit"/>
              <c:showLegendKey val="0"/>
              <c:showVal val="1"/>
              <c:showCatName val="1"/>
              <c:showSerName val="0"/>
              <c:showPercent val="1"/>
              <c:showBubbleSize val="0"/>
              <c:separator>
</c:separator>
            </c:dLbl>
            <c:dLbl>
              <c:idx val="2"/>
              <c:layout>
                <c:manualLayout>
                  <c:x val="2.7313333333333332E-2"/>
                  <c:y val="9.439138576779027E-3"/>
                </c:manualLayout>
              </c:layout>
              <c:dLblPos val="bestFit"/>
              <c:showLegendKey val="0"/>
              <c:showVal val="1"/>
              <c:showCatName val="1"/>
              <c:showSerName val="0"/>
              <c:showPercent val="1"/>
              <c:showBubbleSize val="0"/>
              <c:separator>
</c:separator>
            </c:dLbl>
            <c:dLbl>
              <c:idx val="3"/>
              <c:layout>
                <c:manualLayout>
                  <c:x val="5.438733333333344E-2"/>
                  <c:y val="-0.15152098765432098"/>
                </c:manualLayout>
              </c:layout>
              <c:dLblPos val="bestFit"/>
              <c:showLegendKey val="0"/>
              <c:showVal val="1"/>
              <c:showCatName val="1"/>
              <c:showSerName val="0"/>
              <c:showPercent val="1"/>
              <c:showBubbleSize val="0"/>
              <c:separator>
</c:separator>
            </c:dLbl>
            <c:dLbl>
              <c:idx val="4"/>
              <c:layout>
                <c:manualLayout>
                  <c:x val="8.2561555555555555E-2"/>
                  <c:y val="-0.12819912609238451"/>
                </c:manualLayout>
              </c:layout>
              <c:dLblPos val="bestFit"/>
              <c:showLegendKey val="0"/>
              <c:showVal val="1"/>
              <c:showCatName val="1"/>
              <c:showSerName val="0"/>
              <c:showPercent val="1"/>
              <c:showBubbleSize val="0"/>
              <c:separator>
</c:separator>
            </c:dLbl>
            <c:dLbl>
              <c:idx val="5"/>
              <c:layout>
                <c:manualLayout>
                  <c:x val="9.2591999999999994E-2"/>
                  <c:y val="1.9818976279650437E-2"/>
                </c:manualLayout>
              </c:layout>
              <c:dLblPos val="bestFit"/>
              <c:showLegendKey val="0"/>
              <c:showVal val="1"/>
              <c:showCatName val="1"/>
              <c:showSerName val="0"/>
              <c:showPercent val="1"/>
              <c:showBubbleSize val="0"/>
              <c:separator>
</c:separator>
            </c:dLbl>
            <c:dLbl>
              <c:idx val="6"/>
              <c:layout>
                <c:manualLayout>
                  <c:x val="0"/>
                  <c:y val="4.1797283176593522E-2"/>
                </c:manualLayout>
              </c:layout>
              <c:dLblPos val="bestFit"/>
              <c:showLegendKey val="0"/>
              <c:showVal val="1"/>
              <c:showCatName val="1"/>
              <c:showSerName val="0"/>
              <c:showPercent val="1"/>
              <c:showBubbleSize val="0"/>
              <c:separator>
</c:separator>
            </c:dLbl>
            <c:numFmt formatCode="0.0%" sourceLinked="0"/>
            <c:txPr>
              <a:bodyPr/>
              <a:lstStyle/>
              <a:p>
                <a:pPr>
                  <a:defRPr sz="800"/>
                </a:pPr>
                <a:endParaRPr lang="en-US"/>
              </a:p>
            </c:txPr>
            <c:dLblPos val="outEnd"/>
            <c:showLegendKey val="0"/>
            <c:showVal val="1"/>
            <c:showCatName val="1"/>
            <c:showSerName val="0"/>
            <c:showPercent val="1"/>
            <c:showBubbleSize val="0"/>
            <c:separator>
</c:separator>
            <c:showLeaderLines val="1"/>
          </c:dLbls>
          <c:cat>
            <c:strRef>
              <c:f>'Fig 2.9'!$B$29:$B$35</c:f>
              <c:strCache>
                <c:ptCount val="7"/>
                <c:pt idx="0">
                  <c:v>Medical expenses (total)</c:v>
                </c:pt>
                <c:pt idx="1">
                  <c:v>Current pension fund contributions</c:v>
                </c:pt>
                <c:pt idx="2">
                  <c:v>Travel expenses - fixed cost - business cost claimed against allowance</c:v>
                </c:pt>
                <c:pt idx="3">
                  <c:v>Current retirement annuity fund contributions</c:v>
                </c:pt>
                <c:pt idx="4">
                  <c:v>Medical expenses (disabled)</c:v>
                </c:pt>
                <c:pt idx="5">
                  <c:v>Travel expenses - actual business cost</c:v>
                </c:pt>
                <c:pt idx="6">
                  <c:v>All other deductions</c:v>
                </c:pt>
              </c:strCache>
            </c:strRef>
          </c:cat>
          <c:val>
            <c:numRef>
              <c:f>'Fig 2.9'!$D$29:$D$35</c:f>
              <c:numCache>
                <c:formatCode>"R"#,##0.0"bn";"R"\ \-#,##0.0"bn"</c:formatCode>
                <c:ptCount val="7"/>
                <c:pt idx="0">
                  <c:v>60.609051098000002</c:v>
                </c:pt>
                <c:pt idx="1">
                  <c:v>27.880379620999999</c:v>
                </c:pt>
                <c:pt idx="2">
                  <c:v>17.603968130000002</c:v>
                </c:pt>
                <c:pt idx="3">
                  <c:v>13.67988867</c:v>
                </c:pt>
                <c:pt idx="4">
                  <c:v>2.1224801520000001</c:v>
                </c:pt>
                <c:pt idx="5">
                  <c:v>1.109215332</c:v>
                </c:pt>
                <c:pt idx="6">
                  <c:v>9.7340870010000486</c:v>
                </c:pt>
              </c:numCache>
            </c:numRef>
          </c:val>
        </c:ser>
        <c:dLbls>
          <c:showLegendKey val="0"/>
          <c:showVal val="0"/>
          <c:showCatName val="0"/>
          <c:showSerName val="0"/>
          <c:showPercent val="0"/>
          <c:showBubbleSize val="0"/>
          <c:showLeaderLines val="1"/>
        </c:dLbls>
        <c:firstSliceAng val="145"/>
      </c:pieChart>
      <c:spPr>
        <a:noFill/>
        <a:ln w="25400">
          <a:noFill/>
        </a:ln>
      </c:spPr>
    </c:plotArea>
    <c:plotVisOnly val="1"/>
    <c:dispBlanksAs val="zero"/>
    <c:showDLblsOverMax val="0"/>
  </c:chart>
  <c:spPr>
    <a:noFill/>
    <a:ln w="3175">
      <a:solidFill>
        <a:schemeClr val="tx1"/>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66675</xdr:rowOff>
    </xdr:from>
    <xdr:to>
      <xdr:col>8</xdr:col>
      <xdr:colOff>251850</xdr:colOff>
      <xdr:row>18</xdr:row>
      <xdr:rowOff>68175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1</xdr:row>
      <xdr:rowOff>57149</xdr:rowOff>
    </xdr:from>
    <xdr:to>
      <xdr:col>8</xdr:col>
      <xdr:colOff>261376</xdr:colOff>
      <xdr:row>18</xdr:row>
      <xdr:rowOff>58649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xdr:row>
      <xdr:rowOff>27346</xdr:rowOff>
    </xdr:from>
    <xdr:to>
      <xdr:col>9</xdr:col>
      <xdr:colOff>104775</xdr:colOff>
      <xdr:row>28</xdr:row>
      <xdr:rowOff>41079</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17846"/>
          <a:ext cx="4924425" cy="4385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95251</xdr:colOff>
      <xdr:row>25</xdr:row>
      <xdr:rowOff>38100</xdr:rowOff>
    </xdr:from>
    <xdr:to>
      <xdr:col>8</xdr:col>
      <xdr:colOff>598326</xdr:colOff>
      <xdr:row>27</xdr:row>
      <xdr:rowOff>64819</xdr:rowOff>
    </xdr:to>
    <xdr:pic>
      <xdr:nvPicPr>
        <xdr:cNvPr id="11" name="Picture 10"/>
        <xdr:cNvPicPr>
          <a:picLocks noChangeAspect="1"/>
        </xdr:cNvPicPr>
      </xdr:nvPicPr>
      <xdr:blipFill>
        <a:blip xmlns:r="http://schemas.openxmlformats.org/officeDocument/2006/relationships" r:embed="rId2"/>
        <a:stretch>
          <a:fillRect/>
        </a:stretch>
      </xdr:blipFill>
      <xdr:spPr>
        <a:xfrm>
          <a:off x="4000501" y="4114800"/>
          <a:ext cx="1112675" cy="350569"/>
        </a:xfrm>
        <a:prstGeom prst="rect">
          <a:avLst/>
        </a:prstGeom>
      </xdr:spPr>
    </xdr:pic>
    <xdr:clientData/>
  </xdr:twoCellAnchor>
  <xdr:twoCellAnchor editAs="oneCell">
    <xdr:from>
      <xdr:col>5</xdr:col>
      <xdr:colOff>180975</xdr:colOff>
      <xdr:row>20</xdr:row>
      <xdr:rowOff>19050</xdr:rowOff>
    </xdr:from>
    <xdr:to>
      <xdr:col>6</xdr:col>
      <xdr:colOff>447565</xdr:colOff>
      <xdr:row>23</xdr:row>
      <xdr:rowOff>74228</xdr:rowOff>
    </xdr:to>
    <xdr:pic>
      <xdr:nvPicPr>
        <xdr:cNvPr id="2" name="Picture 1"/>
        <xdr:cNvPicPr>
          <a:picLocks noChangeAspect="1"/>
        </xdr:cNvPicPr>
      </xdr:nvPicPr>
      <xdr:blipFill>
        <a:blip xmlns:r="http://schemas.openxmlformats.org/officeDocument/2006/relationships" r:embed="rId3"/>
        <a:stretch>
          <a:fillRect/>
        </a:stretch>
      </xdr:blipFill>
      <xdr:spPr>
        <a:xfrm>
          <a:off x="2867025" y="3286125"/>
          <a:ext cx="876190" cy="540953"/>
        </a:xfrm>
        <a:prstGeom prst="rect">
          <a:avLst/>
        </a:prstGeom>
      </xdr:spPr>
    </xdr:pic>
    <xdr:clientData/>
  </xdr:twoCellAnchor>
  <xdr:twoCellAnchor editAs="oneCell">
    <xdr:from>
      <xdr:col>5</xdr:col>
      <xdr:colOff>257176</xdr:colOff>
      <xdr:row>13</xdr:row>
      <xdr:rowOff>57150</xdr:rowOff>
    </xdr:from>
    <xdr:to>
      <xdr:col>6</xdr:col>
      <xdr:colOff>516147</xdr:colOff>
      <xdr:row>16</xdr:row>
      <xdr:rowOff>104709</xdr:rowOff>
    </xdr:to>
    <xdr:pic>
      <xdr:nvPicPr>
        <xdr:cNvPr id="5" name="Picture 4"/>
        <xdr:cNvPicPr>
          <a:picLocks noChangeAspect="1"/>
        </xdr:cNvPicPr>
      </xdr:nvPicPr>
      <xdr:blipFill>
        <a:blip xmlns:r="http://schemas.openxmlformats.org/officeDocument/2006/relationships" r:embed="rId4"/>
        <a:stretch>
          <a:fillRect/>
        </a:stretch>
      </xdr:blipFill>
      <xdr:spPr>
        <a:xfrm>
          <a:off x="2943226" y="2190750"/>
          <a:ext cx="868571" cy="533334"/>
        </a:xfrm>
        <a:prstGeom prst="rect">
          <a:avLst/>
        </a:prstGeom>
      </xdr:spPr>
    </xdr:pic>
    <xdr:clientData/>
  </xdr:twoCellAnchor>
  <xdr:twoCellAnchor editAs="oneCell">
    <xdr:from>
      <xdr:col>5</xdr:col>
      <xdr:colOff>438150</xdr:colOff>
      <xdr:row>7</xdr:row>
      <xdr:rowOff>133350</xdr:rowOff>
    </xdr:from>
    <xdr:to>
      <xdr:col>7</xdr:col>
      <xdr:colOff>239903</xdr:colOff>
      <xdr:row>11</xdr:row>
      <xdr:rowOff>49460</xdr:rowOff>
    </xdr:to>
    <xdr:pic>
      <xdr:nvPicPr>
        <xdr:cNvPr id="6" name="Picture 5"/>
        <xdr:cNvPicPr>
          <a:picLocks noChangeAspect="1"/>
        </xdr:cNvPicPr>
      </xdr:nvPicPr>
      <xdr:blipFill>
        <a:blip xmlns:r="http://schemas.openxmlformats.org/officeDocument/2006/relationships" r:embed="rId5"/>
        <a:stretch>
          <a:fillRect/>
        </a:stretch>
      </xdr:blipFill>
      <xdr:spPr>
        <a:xfrm>
          <a:off x="3124200" y="1295400"/>
          <a:ext cx="1020953" cy="563810"/>
        </a:xfrm>
        <a:prstGeom prst="rect">
          <a:avLst/>
        </a:prstGeom>
      </xdr:spPr>
    </xdr:pic>
    <xdr:clientData/>
  </xdr:twoCellAnchor>
  <xdr:twoCellAnchor editAs="oneCell">
    <xdr:from>
      <xdr:col>7</xdr:col>
      <xdr:colOff>228601</xdr:colOff>
      <xdr:row>14</xdr:row>
      <xdr:rowOff>95250</xdr:rowOff>
    </xdr:from>
    <xdr:to>
      <xdr:col>8</xdr:col>
      <xdr:colOff>571382</xdr:colOff>
      <xdr:row>17</xdr:row>
      <xdr:rowOff>127570</xdr:rowOff>
    </xdr:to>
    <xdr:pic>
      <xdr:nvPicPr>
        <xdr:cNvPr id="7" name="Picture 6"/>
        <xdr:cNvPicPr>
          <a:picLocks noChangeAspect="1"/>
        </xdr:cNvPicPr>
      </xdr:nvPicPr>
      <xdr:blipFill>
        <a:blip xmlns:r="http://schemas.openxmlformats.org/officeDocument/2006/relationships" r:embed="rId6"/>
        <a:stretch>
          <a:fillRect/>
        </a:stretch>
      </xdr:blipFill>
      <xdr:spPr>
        <a:xfrm>
          <a:off x="4133851" y="2390775"/>
          <a:ext cx="952381" cy="518095"/>
        </a:xfrm>
        <a:prstGeom prst="rect">
          <a:avLst/>
        </a:prstGeom>
      </xdr:spPr>
    </xdr:pic>
    <xdr:clientData/>
  </xdr:twoCellAnchor>
  <xdr:twoCellAnchor editAs="oneCell">
    <xdr:from>
      <xdr:col>6</xdr:col>
      <xdr:colOff>466725</xdr:colOff>
      <xdr:row>3</xdr:row>
      <xdr:rowOff>28575</xdr:rowOff>
    </xdr:from>
    <xdr:to>
      <xdr:col>8</xdr:col>
      <xdr:colOff>131335</xdr:colOff>
      <xdr:row>6</xdr:row>
      <xdr:rowOff>60895</xdr:rowOff>
    </xdr:to>
    <xdr:pic>
      <xdr:nvPicPr>
        <xdr:cNvPr id="8" name="Picture 7"/>
        <xdr:cNvPicPr>
          <a:picLocks noChangeAspect="1"/>
        </xdr:cNvPicPr>
      </xdr:nvPicPr>
      <xdr:blipFill>
        <a:blip xmlns:r="http://schemas.openxmlformats.org/officeDocument/2006/relationships" r:embed="rId7"/>
        <a:stretch>
          <a:fillRect/>
        </a:stretch>
      </xdr:blipFill>
      <xdr:spPr>
        <a:xfrm>
          <a:off x="3762375" y="542925"/>
          <a:ext cx="883810" cy="518095"/>
        </a:xfrm>
        <a:prstGeom prst="rect">
          <a:avLst/>
        </a:prstGeom>
      </xdr:spPr>
    </xdr:pic>
    <xdr:clientData/>
  </xdr:twoCellAnchor>
  <xdr:twoCellAnchor editAs="oneCell">
    <xdr:from>
      <xdr:col>7</xdr:col>
      <xdr:colOff>314325</xdr:colOff>
      <xdr:row>8</xdr:row>
      <xdr:rowOff>95250</xdr:rowOff>
    </xdr:from>
    <xdr:to>
      <xdr:col>8</xdr:col>
      <xdr:colOff>588535</xdr:colOff>
      <xdr:row>11</xdr:row>
      <xdr:rowOff>142809</xdr:rowOff>
    </xdr:to>
    <xdr:pic>
      <xdr:nvPicPr>
        <xdr:cNvPr id="9" name="Picture 8"/>
        <xdr:cNvPicPr>
          <a:picLocks noChangeAspect="1"/>
        </xdr:cNvPicPr>
      </xdr:nvPicPr>
      <xdr:blipFill>
        <a:blip xmlns:r="http://schemas.openxmlformats.org/officeDocument/2006/relationships" r:embed="rId8"/>
        <a:stretch>
          <a:fillRect/>
        </a:stretch>
      </xdr:blipFill>
      <xdr:spPr>
        <a:xfrm>
          <a:off x="4219575" y="1419225"/>
          <a:ext cx="883810" cy="533334"/>
        </a:xfrm>
        <a:prstGeom prst="rect">
          <a:avLst/>
        </a:prstGeom>
      </xdr:spPr>
    </xdr:pic>
    <xdr:clientData/>
  </xdr:twoCellAnchor>
  <xdr:twoCellAnchor editAs="oneCell">
    <xdr:from>
      <xdr:col>4</xdr:col>
      <xdr:colOff>95250</xdr:colOff>
      <xdr:row>9</xdr:row>
      <xdr:rowOff>28575</xdr:rowOff>
    </xdr:from>
    <xdr:to>
      <xdr:col>5</xdr:col>
      <xdr:colOff>369460</xdr:colOff>
      <xdr:row>12</xdr:row>
      <xdr:rowOff>121848</xdr:rowOff>
    </xdr:to>
    <xdr:pic>
      <xdr:nvPicPr>
        <xdr:cNvPr id="10" name="Picture 9"/>
        <xdr:cNvPicPr>
          <a:picLocks noChangeAspect="1"/>
        </xdr:cNvPicPr>
      </xdr:nvPicPr>
      <xdr:blipFill>
        <a:blip xmlns:r="http://schemas.openxmlformats.org/officeDocument/2006/relationships" r:embed="rId9"/>
        <a:stretch>
          <a:fillRect/>
        </a:stretch>
      </xdr:blipFill>
      <xdr:spPr>
        <a:xfrm>
          <a:off x="2171700" y="1514475"/>
          <a:ext cx="883810" cy="579048"/>
        </a:xfrm>
        <a:prstGeom prst="rect">
          <a:avLst/>
        </a:prstGeom>
      </xdr:spPr>
    </xdr:pic>
    <xdr:clientData/>
  </xdr:twoCellAnchor>
  <xdr:twoCellAnchor editAs="oneCell">
    <xdr:from>
      <xdr:col>2</xdr:col>
      <xdr:colOff>533401</xdr:colOff>
      <xdr:row>15</xdr:row>
      <xdr:rowOff>38100</xdr:rowOff>
    </xdr:from>
    <xdr:to>
      <xdr:col>4</xdr:col>
      <xdr:colOff>205630</xdr:colOff>
      <xdr:row>18</xdr:row>
      <xdr:rowOff>93278</xdr:rowOff>
    </xdr:to>
    <xdr:pic>
      <xdr:nvPicPr>
        <xdr:cNvPr id="12" name="Picture 11"/>
        <xdr:cNvPicPr>
          <a:picLocks noChangeAspect="1"/>
        </xdr:cNvPicPr>
      </xdr:nvPicPr>
      <xdr:blipFill>
        <a:blip xmlns:r="http://schemas.openxmlformats.org/officeDocument/2006/relationships" r:embed="rId10"/>
        <a:stretch>
          <a:fillRect/>
        </a:stretch>
      </xdr:blipFill>
      <xdr:spPr>
        <a:xfrm>
          <a:off x="1390651" y="2495550"/>
          <a:ext cx="891429" cy="540953"/>
        </a:xfrm>
        <a:prstGeom prst="rect">
          <a:avLst/>
        </a:prstGeom>
      </xdr:spPr>
    </xdr:pic>
    <xdr:clientData/>
  </xdr:twoCellAnchor>
  <xdr:twoCellAnchor editAs="oneCell">
    <xdr:from>
      <xdr:col>2</xdr:col>
      <xdr:colOff>266700</xdr:colOff>
      <xdr:row>22</xdr:row>
      <xdr:rowOff>28575</xdr:rowOff>
    </xdr:from>
    <xdr:to>
      <xdr:col>3</xdr:col>
      <xdr:colOff>594243</xdr:colOff>
      <xdr:row>25</xdr:row>
      <xdr:rowOff>60895</xdr:rowOff>
    </xdr:to>
    <xdr:pic>
      <xdr:nvPicPr>
        <xdr:cNvPr id="14" name="Picture 13"/>
        <xdr:cNvPicPr>
          <a:picLocks noChangeAspect="1"/>
        </xdr:cNvPicPr>
      </xdr:nvPicPr>
      <xdr:blipFill>
        <a:blip xmlns:r="http://schemas.openxmlformats.org/officeDocument/2006/relationships" r:embed="rId11"/>
        <a:stretch>
          <a:fillRect/>
        </a:stretch>
      </xdr:blipFill>
      <xdr:spPr>
        <a:xfrm>
          <a:off x="1123950" y="3619500"/>
          <a:ext cx="937143" cy="51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xdr:colOff>
      <xdr:row>1</xdr:row>
      <xdr:rowOff>47625</xdr:rowOff>
    </xdr:from>
    <xdr:to>
      <xdr:col>8</xdr:col>
      <xdr:colOff>280424</xdr:colOff>
      <xdr:row>21</xdr:row>
      <xdr:rowOff>49125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xdr:row>
      <xdr:rowOff>19050</xdr:rowOff>
    </xdr:from>
    <xdr:to>
      <xdr:col>8</xdr:col>
      <xdr:colOff>261375</xdr:colOff>
      <xdr:row>21</xdr:row>
      <xdr:rowOff>20550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1</xdr:row>
      <xdr:rowOff>28575</xdr:rowOff>
    </xdr:from>
    <xdr:to>
      <xdr:col>8</xdr:col>
      <xdr:colOff>251849</xdr:colOff>
      <xdr:row>21</xdr:row>
      <xdr:rowOff>30075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232800</xdr:colOff>
      <xdr:row>21</xdr:row>
      <xdr:rowOff>1500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20916</xdr:colOff>
      <xdr:row>1</xdr:row>
      <xdr:rowOff>34924</xdr:rowOff>
    </xdr:from>
    <xdr:to>
      <xdr:col>8</xdr:col>
      <xdr:colOff>253716</xdr:colOff>
      <xdr:row>21</xdr:row>
      <xdr:rowOff>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xdr:row>
      <xdr:rowOff>28574</xdr:rowOff>
    </xdr:from>
    <xdr:to>
      <xdr:col>8</xdr:col>
      <xdr:colOff>289950</xdr:colOff>
      <xdr:row>21</xdr:row>
      <xdr:rowOff>30074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00B0F0"/>
    <pageSetUpPr fitToPage="1"/>
  </sheetPr>
  <dimension ref="A1:B59"/>
  <sheetViews>
    <sheetView showGridLines="0" tabSelected="1" zoomScaleNormal="100" workbookViewId="0"/>
  </sheetViews>
  <sheetFormatPr defaultColWidth="9.140625" defaultRowHeight="12.75" x14ac:dyDescent="0.2"/>
  <cols>
    <col min="1" max="1" width="1.7109375" style="1" customWidth="1"/>
    <col min="2" max="2" width="145.7109375" style="1" customWidth="1"/>
    <col min="3" max="16384" width="9.140625" style="1"/>
  </cols>
  <sheetData>
    <row r="1" spans="1:2" x14ac:dyDescent="0.2">
      <c r="A1" s="132" t="s">
        <v>164</v>
      </c>
    </row>
    <row r="2" spans="1:2" x14ac:dyDescent="0.2">
      <c r="A2" s="154" t="s">
        <v>161</v>
      </c>
      <c r="B2" s="155"/>
    </row>
    <row r="3" spans="1:2" ht="15" customHeight="1" x14ac:dyDescent="0.2">
      <c r="A3" s="133"/>
      <c r="B3" s="770" t="str">
        <f>'2.1'!B1</f>
        <v>Table 2.1: Personal Income Tax (PIT) brackets, 2009 and 2012</v>
      </c>
    </row>
    <row r="4" spans="1:2" ht="15" customHeight="1" x14ac:dyDescent="0.2">
      <c r="A4" s="133"/>
      <c r="B4" s="770" t="str">
        <f>'2.2'!B1</f>
        <v>Table 2.2: Tax relief granted to individuals, 1995 and 2012</v>
      </c>
    </row>
    <row r="5" spans="1:2" ht="15" customHeight="1" x14ac:dyDescent="0.2">
      <c r="A5" s="133"/>
      <c r="B5" s="770" t="str">
        <f>'2.3'!B1</f>
        <v>Table 2.3: Provisional tax payments by provisional period, 2008/09 – 2012/13</v>
      </c>
    </row>
    <row r="6" spans="1:2" ht="15" customHeight="1" x14ac:dyDescent="0.2">
      <c r="A6" s="133"/>
      <c r="B6" s="759" t="str">
        <f>'2.4'!B1</f>
        <v>Table 2.4: Number of individual taxpayers, 2009 – 2012</v>
      </c>
    </row>
    <row r="7" spans="1:2" ht="15" customHeight="1" x14ac:dyDescent="0.2">
      <c r="A7" s="133"/>
      <c r="B7" s="759" t="str">
        <f>'2.5'!B1</f>
        <v>Table 2.5: Summary of assessed individual taxpayers, taxable income and tax assessed, 2009 – 2012</v>
      </c>
    </row>
    <row r="8" spans="1:2" ht="15" customHeight="1" x14ac:dyDescent="0.2">
      <c r="A8" s="133"/>
      <c r="B8" s="759" t="str">
        <f>'2.6'!B1:H1</f>
        <v>Table 2.6: Distribution of assessed individual taxpayers over major taxable income groups, 2009 – 2012</v>
      </c>
    </row>
    <row r="9" spans="1:2" ht="15" customHeight="1" x14ac:dyDescent="0.2">
      <c r="A9" s="133"/>
      <c r="B9" s="759" t="str">
        <f>'2.7'!B1</f>
        <v>Table 2.7: Assessed individual taxpayers by income group, deductions granted and taxable income, 2012</v>
      </c>
    </row>
    <row r="10" spans="1:2" ht="12.75" customHeight="1" x14ac:dyDescent="0.2">
      <c r="A10" s="154" t="s">
        <v>162</v>
      </c>
      <c r="B10" s="155"/>
    </row>
    <row r="11" spans="1:2" ht="15" customHeight="1" x14ac:dyDescent="0.2">
      <c r="A11" s="134"/>
      <c r="B11" s="759" t="str">
        <f>'Fig 2.1'!B1</f>
        <v>Figure 2.1: Example of tax relief granted to an individual with taxable income of R100 000 in 1995</v>
      </c>
    </row>
    <row r="12" spans="1:2" ht="15" customHeight="1" x14ac:dyDescent="0.2">
      <c r="A12" s="134"/>
      <c r="B12" s="770" t="str">
        <f>'Fig 2.2'!B1</f>
        <v>Figure 2.2: Distribution of assessed individual taxpayers by taxable income group, 2012</v>
      </c>
    </row>
    <row r="13" spans="1:2" ht="15" customHeight="1" x14ac:dyDescent="0.2">
      <c r="A13" s="134"/>
      <c r="B13" s="770" t="str">
        <f>'Fig 2.3'!B1</f>
        <v>Figure 2.3: Assessed individual taxpayers and tax assessed by province, 2012</v>
      </c>
    </row>
    <row r="14" spans="1:2" ht="15" customHeight="1" x14ac:dyDescent="0.2">
      <c r="A14" s="134"/>
      <c r="B14" s="770" t="str">
        <f>'Fig 2.4'!B1</f>
        <v>Figure 2.4: Percentage of assessed individual taxpayers by age group, 2009 – 2012</v>
      </c>
    </row>
    <row r="15" spans="1:2" ht="15" customHeight="1" x14ac:dyDescent="0.2">
      <c r="A15" s="134"/>
      <c r="B15" s="770" t="str">
        <f>'Fig 2.5'!B1</f>
        <v>Figure 2.5: Number of male and female assessed individual taxpayers by main taxable income group, 2012</v>
      </c>
    </row>
    <row r="16" spans="1:2" ht="15" customHeight="1" x14ac:dyDescent="0.2">
      <c r="A16" s="134"/>
      <c r="B16" s="770" t="str">
        <f>'Fig 2.6'!B1</f>
        <v>Figure 2.6: Assessed individual taxpayers’ taxable income by source of income, 2012</v>
      </c>
    </row>
    <row r="17" spans="1:2" ht="15" customHeight="1" x14ac:dyDescent="0.2">
      <c r="A17" s="134"/>
      <c r="B17" s="770" t="str">
        <f>'Fig 2.7'!B1</f>
        <v>Figure 2.7: Assessed individual taxpayers’ tax assessed by economic activity, 2012</v>
      </c>
    </row>
    <row r="18" spans="1:2" ht="15" customHeight="1" x14ac:dyDescent="0.2">
      <c r="A18" s="134"/>
      <c r="B18" s="770" t="str">
        <f>'Fig 2.8'!B1</f>
        <v>Figure 2.8: Assessed individual taxpayers' allowances, 2012</v>
      </c>
    </row>
    <row r="19" spans="1:2" ht="15" customHeight="1" x14ac:dyDescent="0.2">
      <c r="A19" s="134"/>
      <c r="B19" s="770" t="str">
        <f>'Fig 2.9'!B1</f>
        <v>Figure 2.9: Assessed individual taxpayers' deductions, 2012</v>
      </c>
    </row>
    <row r="20" spans="1:2" ht="12.75" customHeight="1" x14ac:dyDescent="0.2">
      <c r="A20" s="154" t="s">
        <v>163</v>
      </c>
      <c r="B20" s="155"/>
    </row>
    <row r="21" spans="1:2" ht="15" customHeight="1" x14ac:dyDescent="0.2">
      <c r="A21" s="133"/>
      <c r="B21" s="759" t="str">
        <f>A2.1.1!B1</f>
        <v>Table A2.1.1: Assessed individual taxpayers: Taxable income and tax assessed by taxable income group, 2009 – 2012</v>
      </c>
    </row>
    <row r="22" spans="1:2" ht="15" customHeight="1" x14ac:dyDescent="0.2">
      <c r="A22" s="133"/>
      <c r="B22" s="760" t="str">
        <f>A2.1.2!B1</f>
        <v>Table A2.1.2: Assessed individual taxpayers: Taxable income and income before deductions by income group, 2009 – 2012</v>
      </c>
    </row>
    <row r="23" spans="1:2" ht="15" customHeight="1" x14ac:dyDescent="0.2">
      <c r="A23" s="133"/>
      <c r="B23" s="760" t="str">
        <f>A2.1.3!B1</f>
        <v>Table A2.1.3: Assessed individual taxpayers: Taxable income and tax assessed by province, 2009 – 2012</v>
      </c>
    </row>
    <row r="24" spans="1:2" ht="15" customHeight="1" x14ac:dyDescent="0.2">
      <c r="A24" s="133"/>
      <c r="B24" s="760" t="str">
        <f>A2.1.4!B1</f>
        <v>Table A2.1.4: Assessed individual taxpayers: Taxable income and tax assessed by age group, 2009 – 2012</v>
      </c>
    </row>
    <row r="25" spans="1:2" ht="15" customHeight="1" x14ac:dyDescent="0.2">
      <c r="A25" s="133"/>
      <c r="B25" s="760" t="str">
        <f>A2.1.5!B1</f>
        <v>Table A2.1.5: Assessed individual taxpayers: Taxable income and tax assessed by gender, 2009 – 2012</v>
      </c>
    </row>
    <row r="26" spans="1:2" ht="15" customHeight="1" x14ac:dyDescent="0.2">
      <c r="A26" s="133"/>
      <c r="B26" s="760" t="str">
        <f>A2.1.6!B1</f>
        <v>Table A2.1.6: Percentage of assessed individual taxpayers by taxable income group and gender, 2009 – 2012</v>
      </c>
    </row>
    <row r="27" spans="1:2" ht="15" customHeight="1" x14ac:dyDescent="0.2">
      <c r="A27" s="133"/>
      <c r="B27" s="759" t="str">
        <f>A2.2.1!B1</f>
        <v>Table A2.2.1: Assessed individual taxpayers: Selected sources of income, 2009 – 2012</v>
      </c>
    </row>
    <row r="28" spans="1:2" ht="15" customHeight="1" x14ac:dyDescent="0.2">
      <c r="A28" s="133"/>
      <c r="B28" s="759" t="str">
        <f>A2.3.1!B1</f>
        <v>Table A2.3.1: Assessed individual taxpayers: Taxable income and tax assessed by sector, 2009 – 2012</v>
      </c>
    </row>
    <row r="29" spans="1:2" ht="15" customHeight="1" x14ac:dyDescent="0.2">
      <c r="A29" s="133"/>
      <c r="B29" s="760" t="str">
        <f>A2.3.2!B1</f>
        <v>Table A2.3.2: Assessed individual taxpayers: Taxable income and tax assessed by economic activity, 2009 – 2012</v>
      </c>
    </row>
    <row r="30" spans="1:2" ht="15" customHeight="1" x14ac:dyDescent="0.2">
      <c r="A30" s="133"/>
      <c r="B30" s="759" t="str">
        <f>A2.4.1!B1</f>
        <v>Table A2.4.1: Assessed individual taxpayers with business income: Taxable income and tax assessed by sector, 2009 – 2012</v>
      </c>
    </row>
    <row r="31" spans="1:2" ht="15" customHeight="1" x14ac:dyDescent="0.2">
      <c r="A31" s="133"/>
      <c r="B31" s="759" t="str">
        <f>A2.5.1!B1</f>
        <v>Table A2.5.1: Assessed individual taxpayers: Allowances, 2009 – 2012</v>
      </c>
    </row>
    <row r="32" spans="1:2" x14ac:dyDescent="0.2">
      <c r="A32" s="133"/>
      <c r="B32" s="760" t="str">
        <f>A2.5.2!B1</f>
        <v>Table A2.5.2: Assessed individual taxpayers: Allowances - Travel allowance (code 3701) by taxable income group, 2009 – 2012</v>
      </c>
    </row>
    <row r="33" spans="1:2" ht="15" customHeight="1" x14ac:dyDescent="0.2">
      <c r="A33" s="133"/>
      <c r="B33" s="760" t="str">
        <f>A2.5.3!B1</f>
        <v>Table A2.5.3: Assessed individual taxpayers: Allowances - Share options exercised (code 3707) by taxable income group, 2009 – 2012</v>
      </c>
    </row>
    <row r="34" spans="1:2" ht="15" customHeight="1" x14ac:dyDescent="0.2">
      <c r="A34" s="133"/>
      <c r="B34" s="760" t="str">
        <f>A2.5.4!B1</f>
        <v>Table A2.5.4: Assessed individual taxpayers: Allowances - Other allowances (code 3713)1 by taxable income group, 2009 – 2012</v>
      </c>
    </row>
    <row r="35" spans="1:2" ht="15" customHeight="1" x14ac:dyDescent="0.2">
      <c r="A35" s="133"/>
      <c r="B35" s="759" t="str">
        <f>A2.6.1!B1</f>
        <v>Table A2.6.1: Assessed individual taxpayers: Fringe benefits, 2009 – 2012</v>
      </c>
    </row>
    <row r="36" spans="1:2" ht="15" customHeight="1" x14ac:dyDescent="0.2">
      <c r="A36" s="133"/>
      <c r="B36" s="760" t="str">
        <f>A2.6.2!B1</f>
        <v>Table A2.6.2: Assessed individual taxpayers: Fringe benefits - Acquisition of asset (code 3801)1 by taxable income group, 2009 – 2012</v>
      </c>
    </row>
    <row r="37" spans="1:2" ht="15" customHeight="1" x14ac:dyDescent="0.2">
      <c r="A37" s="133"/>
      <c r="B37" s="760" t="str">
        <f>A2.6.3!B1</f>
        <v>Table A2.6.3: Assessed individual taxpayers: Fringe benefits - Use of motor vehicle (code 3802) by taxable income group, 2009 – 2012</v>
      </c>
    </row>
    <row r="38" spans="1:2" ht="15" customHeight="1" x14ac:dyDescent="0.2">
      <c r="A38" s="133"/>
      <c r="B38" s="760" t="str">
        <f>A2.6.4!B1</f>
        <v>Table A2.6.4: Assessed individual taxpayers: Fringe benefits - Medical aid paid on behalf of employee (code 3810) by taxable income group, 2009 – 2012</v>
      </c>
    </row>
    <row r="39" spans="1:2" ht="15" customHeight="1" x14ac:dyDescent="0.2">
      <c r="A39" s="133"/>
      <c r="B39" s="759" t="str">
        <f>A2.7.1!B1</f>
        <v>Table A2.7.1: Assessed individual taxpayers: Deductions, 2009 – 2012</v>
      </c>
    </row>
    <row r="40" spans="1:2" ht="15" customHeight="1" x14ac:dyDescent="0.2">
      <c r="A40" s="133"/>
      <c r="B40" s="760" t="str">
        <f>A2.7.2!B1</f>
        <v>Table A2.7.2: Assessed individual taxpayers: Deductions - Current pension fund contributions (code 4001) by taxable income group, 2009 – 2012</v>
      </c>
    </row>
    <row r="41" spans="1:2" ht="15" customHeight="1" x14ac:dyDescent="0.2">
      <c r="A41" s="133"/>
      <c r="B41" s="760" t="str">
        <f>A2.7.3!B1</f>
        <v>Table A2.7.3: Assessed individual taxpayers: Deductions - Current retirement annuity fund contributions (code 4006) by taxable income group, 2009 – 2012</v>
      </c>
    </row>
    <row r="42" spans="1:2" ht="15" customHeight="1" x14ac:dyDescent="0.2">
      <c r="A42" s="133"/>
      <c r="B42" s="760" t="str">
        <f>A2.7.4!B1</f>
        <v>Table A2.7.4: Assessed individual taxpayers: Deductions - Medical expenses (total) (code 4008) by taxable income group, 2009 – 2012</v>
      </c>
    </row>
    <row r="43" spans="1:2" ht="15" customHeight="1" x14ac:dyDescent="0.2">
      <c r="A43" s="133"/>
      <c r="B43" s="760" t="str">
        <f>A2.7.5!B1</f>
        <v>Table A2.7.5: Assessed individual taxpayers: Deductions - Medical expenses (disabled) (code 4009) by taxable income group, 2009 – 2012</v>
      </c>
    </row>
    <row r="44" spans="1:2" ht="15" customHeight="1" x14ac:dyDescent="0.2">
      <c r="A44" s="133"/>
      <c r="B44" s="760" t="str">
        <f>A2.7.6!B1</f>
        <v>Table A2.7.6: Assessed individual taxpayers: Deductions - Travel expenses (fixed cost - business cost claimed against travel allowance) (code 4014) by taxable income group, 2009 – 2012</v>
      </c>
    </row>
    <row r="45" spans="1:2" ht="15" customHeight="1" x14ac:dyDescent="0.2">
      <c r="A45" s="133"/>
      <c r="B45" s="760" t="str">
        <f>A2.7.7!B1</f>
        <v>Table A2.7.7: Assessed individual taxpayers: Deductions - Travel expenses (actual business cost) (code 4015) by taxable income group, 2009 – 2012</v>
      </c>
    </row>
    <row r="46" spans="1:2" ht="15" customHeight="1" x14ac:dyDescent="0.2">
      <c r="A46" s="133"/>
      <c r="B46" s="760" t="str">
        <f>A2.7.8!B1</f>
        <v>Table A2.7.8: Assessed individual taxpayers: Deductions - Other (code 4016) by taxable income group, 2009 – 2012</v>
      </c>
    </row>
    <row r="47" spans="1:2" ht="15" customHeight="1" x14ac:dyDescent="0.2">
      <c r="A47" s="133"/>
      <c r="B47" s="770" t="str">
        <f>A2.7.9!B1</f>
        <v>Table A2.7.9: Assessed individual taxpayers: Deductions - Current pension fund contributions (code 4001) by deduction value, 2009 – 2012</v>
      </c>
    </row>
    <row r="48" spans="1:2" ht="15" customHeight="1" x14ac:dyDescent="0.2">
      <c r="A48" s="133"/>
      <c r="B48" s="135" t="str">
        <f>A2.7.10!B1</f>
        <v>Table A2.7.10: Assessed individual taxpayers: Deductions - Current retirement annuity fund contributions (code 4006) by deduction value, 2009 – 2012</v>
      </c>
    </row>
    <row r="49" spans="1:2" ht="15" customHeight="1" x14ac:dyDescent="0.2">
      <c r="A49" s="133"/>
      <c r="B49" s="135" t="str">
        <f>A2.7.11!B1</f>
        <v>Table A2.7.11: Assessed individual taxpayers: Deductions - Medical expenses (total) (code 4008) by deduction value, 2009 – 2012</v>
      </c>
    </row>
    <row r="50" spans="1:2" ht="15" customHeight="1" x14ac:dyDescent="0.2">
      <c r="A50" s="208"/>
      <c r="B50" s="875" t="str">
        <f>A2.7.12!B1</f>
        <v>Table A2.7.12: Assessed individual taxpayers: Deductions - Travel expenses (fixed cost - business cost claimed against travel allowance) (code 4014) by deduction value, 2009 – 2012</v>
      </c>
    </row>
    <row r="51" spans="1:2" x14ac:dyDescent="0.2">
      <c r="B51" s="136"/>
    </row>
    <row r="52" spans="1:2" x14ac:dyDescent="0.2">
      <c r="B52" s="136"/>
    </row>
    <row r="53" spans="1:2" x14ac:dyDescent="0.2">
      <c r="B53" s="136"/>
    </row>
    <row r="54" spans="1:2" x14ac:dyDescent="0.2">
      <c r="B54" s="136"/>
    </row>
    <row r="55" spans="1:2" x14ac:dyDescent="0.2">
      <c r="B55" s="136"/>
    </row>
    <row r="56" spans="1:2" x14ac:dyDescent="0.2">
      <c r="B56" s="136"/>
    </row>
    <row r="57" spans="1:2" x14ac:dyDescent="0.2">
      <c r="B57" s="136"/>
    </row>
    <row r="58" spans="1:2" x14ac:dyDescent="0.2">
      <c r="B58" s="136"/>
    </row>
    <row r="59" spans="1:2" x14ac:dyDescent="0.2">
      <c r="B59" s="136"/>
    </row>
  </sheetData>
  <phoneticPr fontId="10" type="noConversion"/>
  <hyperlinks>
    <hyperlink ref="B5" location="'2.3'!A1" display="'2.3'!A1"/>
    <hyperlink ref="B3" location="'2.1'!A1" display="'2.1'!A1"/>
    <hyperlink ref="B6" location="'2.4'!A1" display="Table 2.4: Number of individual taxpayers, 2007 – 2010"/>
    <hyperlink ref="B11" location="'Fig 2.1'!A1" display="Figure 2.1: Number of assessed individual taxpayers and tax assessed, 2009"/>
    <hyperlink ref="B21" location="A2.1.1!A1" display="Table A2.1.1: Individual taxpayers: Taxable income and tax assessed by taxable income group, 2005 – 2008"/>
    <hyperlink ref="B22" location="A2.1.2!A1" display="Table A2.1.2: Assessed individual taxpayers: Taxable income and tax assessed by province, 2007 – 2010"/>
    <hyperlink ref="B23" location="A2.1.3!A1" display="Table A2.1.3: Assessed individual taxpayers: Taxable income and tax assessed by age group, 2007 – 2010"/>
    <hyperlink ref="B24" location="A2.1.4!A1" display="Table A2.1.4: Assessed individual taxpayers: Taxable income and tax assessed by gender, 2007 – 2010"/>
    <hyperlink ref="B28" location="A2.3.1!A1" display="Table A2.3.1: Individual taxpayers: Tax assessed by sector, 2006 – 2009"/>
    <hyperlink ref="B29" location="A2.3.2!A1" display="Table A2.3.2: Individual taxpayers: Tax assessed by sector, 2006 – 2009 [percentage of total]"/>
    <hyperlink ref="B30" location="A2.4.1!A1" display="Table A2.4.1: Individual taxpayers with business income: Taxable income and tax assessed by sector, 2006 – 2009"/>
    <hyperlink ref="B31" location="A2.5.1!A1" display="Table A2.5.1: Individual taxpayers: Allowances, 2006 – 2009"/>
    <hyperlink ref="B32" location="A2.5.2!A1" display="Table A2.5.2: Assessed individual taxpayers: Allowances - Travelling allowance (code 3701) by taxable income group, 2007 – 2010"/>
    <hyperlink ref="B33" location="A2.5.3!A1" display="Table A2.5.3: Assessed individual taxpayers: Allowances - Share options exercised (code 3707) by taxable income group, 2007 – 2010"/>
    <hyperlink ref="B34" location="A2.5.4!A1" display="Table A2.5.4: Assessed individual taxpayers: Allowances - Other allowance (code 3713) by taxable income group, 2007 – 2010"/>
    <hyperlink ref="B39" location="A2.7.1!A1" display="Table A2.7.1: Individual taxpayers: Deductions, 2006 – 2009"/>
    <hyperlink ref="B40" location="A2.7.2!A1" display="Table A2.7.2: Individual taxpayers: Deductions - Current pension fund contributions (code 4001) by taxable income group, 2006 – 2009"/>
    <hyperlink ref="B41" location="A2.7.3!A1" display="Table A2.7.3: Individual taxpayers: Deductions - Current pension fund contributions (code 4001) by taxable income group, 2006 – 2009 [percentage of total]"/>
    <hyperlink ref="B42" location="A2.7.4!A1" display="A2.7.4!A1"/>
    <hyperlink ref="B43" location="A2.7.5!A1" display="Table A2.7.5: Individual taxpayers: Deductions - Current retirement annuity fund contributions (code 4006) by taxable income group, 2006 – 2009 [percentage of total]"/>
    <hyperlink ref="B44" location="A2.7.6!A1" display="Table A2.7.6: Individual taxpayers: Deductions - Medical expenses (total) (code 4008) by taxable income group, 2006 – 2009"/>
    <hyperlink ref="B45" location="A2.7.7!A1" display="Table A2.7.7: Individual taxpayers: Deductions - Medical expenses (total) (code 4008) by taxable income group, 2006 – 2009 [percentage of total]"/>
    <hyperlink ref="B35" location="A2.6.1!A1" display="Table A2.6.1: Individual taxpayers: Fringe benefits, 2006 – 2009"/>
    <hyperlink ref="B36" location="A2.6.2!A1" display="Table A2.6.2: Assessed individual taxpayers: Fringe benefits - Acquisition of asset at less than the actual value (code 3801) by taxable income group, 2008 – 2010"/>
    <hyperlink ref="B37" location="A2.6.3!A1" display="Table A2.6.3: Assessed individual taxpayers: Fringe benefits - Use of motor vehicle (code 3802) by taxable income group, 2007 – 2010"/>
    <hyperlink ref="B38" location="A2.6.4!A1" display="Table A2.6.4: Assessed individual taxpayers: Fringe benefits - Medical aid paid on behalf of employee (code 3810) by taxable income group, 2007 – 2010"/>
    <hyperlink ref="B27" location="A2.2.1!A1" display="Table A2.2.1: Individual taxpayers: Source of income, 2006 – 2009"/>
    <hyperlink ref="B25" location="A2.1.5!A1" display="Table A2.1.5: Percentage of assessed individual taxpayers by taxable income group and gender, 2007 – 2010"/>
    <hyperlink ref="B12" location="'Fig 2.2'!A1" display="'Fig 2.2'!A1"/>
    <hyperlink ref="B13" location="'Fig 2.3'!A1" display="'Fig 2.3'!A1"/>
    <hyperlink ref="B14" location="'Fig 2.4'!A1" display="'Fig 2.4'!A1"/>
    <hyperlink ref="B15" location="'Fig 2.5'!A1" display="'Fig 2.5'!A1"/>
    <hyperlink ref="B16" location="'Fig 2.6'!A1" display="'Fig 2.6'!A1"/>
    <hyperlink ref="B17" location="'Fig 2.7'!A1" display="'Fig 2.7'!A1"/>
    <hyperlink ref="B7" location="'2.5'!A1" display="Table 2.5: Assessed individual taxpayers: Summary of taxable income and tax assessed, 2007 – 2010"/>
    <hyperlink ref="B8" location="'2.6'!A1" display="Table 2.6: Distribution of assessed individual taxpayers over selected taxable income groups, 2007 – 2010"/>
    <hyperlink ref="B4" location="'2.2'!A1" display="'2.2'!A1"/>
    <hyperlink ref="B9" location="'2.7'!A1" display="Table 2.7: Taxpayers in income groups, deductions granted and taxable income"/>
    <hyperlink ref="B18" location="'Fig 2.8'!A1" display="'Fig 2.8'!A1"/>
    <hyperlink ref="B26" location="A2.1.6!Print_Area" display="Table A2.1.6: Percentage of assessed individual taxpayers by taxable income group and gender, 2008 – 2011"/>
    <hyperlink ref="B46" location="A2.7.8!A1" display="A2.7.8!A1"/>
    <hyperlink ref="B47" location="A2.7.9!A1" display="A2.7.9!A1"/>
    <hyperlink ref="B48" location="A2.7.10!A1" display="A2.7.10!A1"/>
    <hyperlink ref="B49" location="A2.7.11!A1" display="A2.7.11!A1"/>
    <hyperlink ref="B50" location="A2.7.12!A1" display="A2.7.12!A1"/>
    <hyperlink ref="B19" location="'Fig 2.9'!A1" display="'Fig 2.9'!A1"/>
  </hyperlinks>
  <pageMargins left="0.98425196850393704" right="0.98425196850393704" top="0.98425196850393704" bottom="0.98425196850393704" header="0.51181102362204722" footer="0.51181102362204722"/>
  <pageSetup paperSize="9" scale="6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249977111117893"/>
    <pageSetUpPr fitToPage="1"/>
  </sheetPr>
  <dimension ref="B1:AG40"/>
  <sheetViews>
    <sheetView showGridLines="0" zoomScaleNormal="100" zoomScaleSheetLayoutView="90" workbookViewId="0"/>
  </sheetViews>
  <sheetFormatPr defaultColWidth="9.140625" defaultRowHeight="15" x14ac:dyDescent="0.25"/>
  <cols>
    <col min="1" max="1" width="3.7109375" style="292" customWidth="1"/>
    <col min="2" max="28" width="9.140625" style="292" customWidth="1"/>
    <col min="29" max="29" width="11.28515625" style="292" bestFit="1" customWidth="1"/>
    <col min="30" max="30" width="10.85546875" style="292" bestFit="1" customWidth="1"/>
    <col min="31" max="31" width="9.140625" style="292"/>
    <col min="32" max="32" width="9.7109375" style="292" customWidth="1"/>
    <col min="33" max="16384" width="9.140625" style="292"/>
  </cols>
  <sheetData>
    <row r="1" spans="2:2" ht="15" customHeight="1" x14ac:dyDescent="0.25">
      <c r="B1" s="447" t="s">
        <v>580</v>
      </c>
    </row>
    <row r="21" spans="2:33" x14ac:dyDescent="0.25">
      <c r="E21" s="352" t="s">
        <v>371</v>
      </c>
    </row>
    <row r="22" spans="2:33" x14ac:dyDescent="0.25">
      <c r="AA22" s="294"/>
      <c r="AB22" s="294"/>
      <c r="AC22" s="294"/>
      <c r="AD22" s="294"/>
      <c r="AE22" s="294"/>
      <c r="AF22" s="294"/>
      <c r="AG22" s="294"/>
    </row>
    <row r="23" spans="2:33" x14ac:dyDescent="0.25">
      <c r="B23" s="293"/>
      <c r="C23" s="293"/>
      <c r="D23" s="293"/>
      <c r="E23" s="293"/>
      <c r="F23" s="293"/>
      <c r="G23" s="293"/>
      <c r="H23" s="293"/>
      <c r="I23" s="293"/>
      <c r="J23" s="293"/>
      <c r="K23" s="293"/>
      <c r="L23" s="293"/>
      <c r="M23" s="293"/>
      <c r="N23" s="293"/>
      <c r="O23" s="293"/>
      <c r="P23" s="293"/>
      <c r="Q23" s="293"/>
      <c r="R23" s="293"/>
      <c r="S23" s="293"/>
    </row>
    <row r="24" spans="2:33" x14ac:dyDescent="0.25">
      <c r="B24" s="920" t="s">
        <v>368</v>
      </c>
      <c r="C24" s="921"/>
      <c r="D24" s="922"/>
      <c r="E24" s="922"/>
      <c r="F24" s="923"/>
      <c r="G24" s="304"/>
      <c r="H24" s="304"/>
      <c r="I24" s="304"/>
      <c r="J24" s="304"/>
      <c r="K24" s="304"/>
      <c r="N24" s="304"/>
      <c r="O24" s="293"/>
      <c r="P24" s="293"/>
      <c r="Q24" s="293"/>
      <c r="R24" s="293"/>
      <c r="S24" s="293"/>
    </row>
    <row r="25" spans="2:33" x14ac:dyDescent="0.25">
      <c r="B25" s="924"/>
      <c r="C25" s="925" t="s">
        <v>360</v>
      </c>
      <c r="D25" s="925" t="s">
        <v>80</v>
      </c>
      <c r="E25" s="925" t="s">
        <v>362</v>
      </c>
      <c r="F25" s="925" t="s">
        <v>369</v>
      </c>
      <c r="G25" s="397"/>
      <c r="H25" s="304"/>
      <c r="I25" s="397"/>
      <c r="J25" s="304"/>
      <c r="K25" s="304"/>
      <c r="N25" s="304"/>
      <c r="O25" s="293"/>
      <c r="P25" s="293"/>
      <c r="Q25" s="293"/>
      <c r="R25" s="293"/>
      <c r="S25" s="293"/>
    </row>
    <row r="26" spans="2:33" x14ac:dyDescent="0.25">
      <c r="B26" s="926" t="s">
        <v>359</v>
      </c>
      <c r="C26" s="927">
        <f>+A2.1.1!N30</f>
        <v>212117</v>
      </c>
      <c r="D26" s="928">
        <f>+A2.1.1!O30</f>
        <v>-20778.590387</v>
      </c>
      <c r="E26" s="928">
        <f>+A2.1.1!P30</f>
        <v>5.577121</v>
      </c>
      <c r="F26" s="926"/>
      <c r="G26" s="397"/>
      <c r="H26" s="397"/>
      <c r="I26" s="397"/>
      <c r="J26" s="304"/>
      <c r="K26" s="304"/>
      <c r="N26" s="304"/>
      <c r="O26" s="293"/>
      <c r="P26" s="293"/>
      <c r="Q26" s="293"/>
      <c r="R26" s="293"/>
      <c r="S26" s="293"/>
    </row>
    <row r="27" spans="2:33" x14ac:dyDescent="0.25">
      <c r="B27" s="929" t="s">
        <v>372</v>
      </c>
      <c r="C27" s="223">
        <f>+A2.1.1!N31</f>
        <v>722241</v>
      </c>
      <c r="D27" s="930">
        <f>+A2.1.1!O31</f>
        <v>24266.943023</v>
      </c>
      <c r="E27" s="930">
        <f>+A2.1.1!P31</f>
        <v>15.066669000000001</v>
      </c>
      <c r="F27" s="931">
        <f>E27/D27</f>
        <v>6.2087214634822115E-4</v>
      </c>
      <c r="G27" s="397"/>
      <c r="H27" s="397"/>
      <c r="I27" s="397"/>
      <c r="J27" s="304"/>
      <c r="K27" s="304"/>
      <c r="N27" s="304"/>
      <c r="O27" s="293"/>
      <c r="P27" s="293"/>
      <c r="Q27" s="293"/>
      <c r="R27" s="293"/>
      <c r="S27" s="293"/>
    </row>
    <row r="28" spans="2:33" x14ac:dyDescent="0.25">
      <c r="B28" s="929" t="s">
        <v>373</v>
      </c>
      <c r="C28" s="223">
        <f>+A2.1.1!N32</f>
        <v>1245087</v>
      </c>
      <c r="D28" s="930">
        <f>+A2.1.1!O32</f>
        <v>111385.078719</v>
      </c>
      <c r="E28" s="930">
        <f>+A2.1.1!P32</f>
        <v>6227.1863519999997</v>
      </c>
      <c r="F28" s="931">
        <f>E28/D28</f>
        <v>5.5906827230510991E-2</v>
      </c>
      <c r="G28" s="397"/>
      <c r="H28" s="397"/>
      <c r="I28" s="397"/>
      <c r="J28" s="304"/>
      <c r="K28" s="304"/>
      <c r="N28" s="304"/>
      <c r="O28" s="293"/>
      <c r="P28" s="293"/>
      <c r="Q28" s="293"/>
      <c r="R28" s="293"/>
      <c r="S28" s="293"/>
    </row>
    <row r="29" spans="2:33" x14ac:dyDescent="0.25">
      <c r="B29" s="929" t="s">
        <v>406</v>
      </c>
      <c r="C29" s="223">
        <f>+A2.1.1!N33</f>
        <v>2590038</v>
      </c>
      <c r="D29" s="930">
        <f>+A2.1.1!O33</f>
        <v>591588.03560800001</v>
      </c>
      <c r="E29" s="930">
        <f>+A2.1.1!P33</f>
        <v>98640.65582900001</v>
      </c>
      <c r="F29" s="931">
        <f>E29/D29</f>
        <v>0.16673876057622233</v>
      </c>
      <c r="G29" s="397"/>
      <c r="H29" s="397"/>
      <c r="I29" s="397"/>
      <c r="J29" s="304"/>
      <c r="K29" s="304"/>
      <c r="N29" s="304"/>
      <c r="O29" s="293"/>
      <c r="P29" s="293"/>
      <c r="Q29" s="293"/>
      <c r="R29" s="293"/>
      <c r="S29" s="293"/>
    </row>
    <row r="30" spans="2:33" x14ac:dyDescent="0.25">
      <c r="B30" s="929" t="s">
        <v>407</v>
      </c>
      <c r="C30" s="223">
        <f>+A2.1.1!N34</f>
        <v>338724</v>
      </c>
      <c r="D30" s="930">
        <f>+A2.1.1!O34</f>
        <v>317474.27081399999</v>
      </c>
      <c r="E30" s="930">
        <f>+A2.1.1!P34</f>
        <v>101779.863644</v>
      </c>
      <c r="F30" s="931">
        <f>E30/D30</f>
        <v>0.32059247945680047</v>
      </c>
      <c r="G30" s="397"/>
      <c r="H30" s="397"/>
      <c r="I30" s="397"/>
      <c r="J30" s="304"/>
      <c r="K30" s="304"/>
      <c r="N30" s="304"/>
      <c r="O30" s="293"/>
      <c r="P30" s="293"/>
      <c r="Q30" s="293"/>
      <c r="R30" s="293"/>
      <c r="S30" s="293"/>
    </row>
    <row r="31" spans="2:33" x14ac:dyDescent="0.25">
      <c r="B31" s="925" t="s">
        <v>8</v>
      </c>
      <c r="C31" s="932">
        <f>+A2.1.1!N35</f>
        <v>5108207</v>
      </c>
      <c r="D31" s="933">
        <f>SUM(D26:D30)</f>
        <v>1023935.7377770001</v>
      </c>
      <c r="E31" s="933">
        <f>+A2.1.1!P35</f>
        <v>206668.34961500001</v>
      </c>
      <c r="F31" s="934">
        <f>E31/D31</f>
        <v>0.20183722668346762</v>
      </c>
      <c r="G31" s="397"/>
      <c r="H31" s="305"/>
      <c r="I31" s="397"/>
      <c r="J31" s="304"/>
      <c r="K31" s="304"/>
      <c r="N31" s="304"/>
      <c r="O31" s="293"/>
      <c r="P31" s="293"/>
      <c r="Q31" s="293"/>
      <c r="R31" s="293"/>
      <c r="S31" s="293"/>
    </row>
    <row r="32" spans="2:33" x14ac:dyDescent="0.25">
      <c r="B32" s="929"/>
      <c r="C32" s="929"/>
      <c r="D32" s="929"/>
      <c r="E32" s="929"/>
      <c r="F32" s="929"/>
      <c r="G32" s="304"/>
      <c r="H32" s="304"/>
      <c r="I32" s="304"/>
      <c r="J32" s="304"/>
      <c r="K32" s="304"/>
      <c r="N32" s="304"/>
      <c r="O32" s="293"/>
      <c r="P32" s="293"/>
      <c r="Q32" s="293"/>
      <c r="R32" s="293"/>
      <c r="S32" s="293"/>
    </row>
    <row r="33" spans="2:19" x14ac:dyDescent="0.25">
      <c r="B33" s="924"/>
      <c r="C33" s="925" t="s">
        <v>360</v>
      </c>
      <c r="D33" s="925" t="s">
        <v>80</v>
      </c>
      <c r="E33" s="925" t="s">
        <v>361</v>
      </c>
      <c r="F33" s="924"/>
      <c r="G33" s="304"/>
      <c r="H33" s="304"/>
      <c r="I33" s="304"/>
      <c r="J33" s="304"/>
      <c r="K33" s="304"/>
      <c r="N33" s="304"/>
      <c r="O33" s="293"/>
      <c r="P33" s="293"/>
      <c r="Q33" s="293"/>
      <c r="R33" s="293"/>
      <c r="S33" s="293"/>
    </row>
    <row r="34" spans="2:19" x14ac:dyDescent="0.25">
      <c r="B34" s="929" t="s">
        <v>359</v>
      </c>
      <c r="C34" s="935">
        <f>C26/C$31</f>
        <v>4.1524746354249152E-2</v>
      </c>
      <c r="D34" s="935">
        <v>0</v>
      </c>
      <c r="E34" s="935">
        <f>E26/E$31</f>
        <v>2.6985849601013179E-5</v>
      </c>
      <c r="F34" s="929"/>
      <c r="G34" s="938">
        <f>D26/D$31</f>
        <v>-2.0292865675448579E-2</v>
      </c>
      <c r="H34" s="304"/>
      <c r="I34" s="304"/>
      <c r="J34" s="304"/>
      <c r="N34" s="304"/>
      <c r="O34" s="293"/>
      <c r="P34" s="293"/>
      <c r="Q34" s="293"/>
      <c r="R34" s="293"/>
      <c r="S34" s="293"/>
    </row>
    <row r="35" spans="2:19" x14ac:dyDescent="0.25">
      <c r="B35" s="929" t="s">
        <v>372</v>
      </c>
      <c r="C35" s="935">
        <f>C27/C$31</f>
        <v>0.14138835798940802</v>
      </c>
      <c r="D35" s="935">
        <f>G35/SUM($G$35:$G$38)*$G$34+G35</f>
        <v>2.3228304971797568E-2</v>
      </c>
      <c r="E35" s="935">
        <f>E27/E$31</f>
        <v>7.2902643428795542E-5</v>
      </c>
      <c r="F35" s="929"/>
      <c r="G35" s="939">
        <f>D27/D$31</f>
        <v>2.3699673844458612E-2</v>
      </c>
      <c r="H35" s="304"/>
      <c r="I35" s="305">
        <f>D27/D$31*100</f>
        <v>2.3699673844458613</v>
      </c>
      <c r="J35" s="304"/>
      <c r="N35" s="304"/>
      <c r="O35" s="293"/>
      <c r="P35" s="293"/>
      <c r="Q35" s="293"/>
      <c r="R35" s="293"/>
      <c r="S35" s="293"/>
    </row>
    <row r="36" spans="2:19" x14ac:dyDescent="0.25">
      <c r="B36" s="929" t="s">
        <v>373</v>
      </c>
      <c r="C36" s="935">
        <f>C28/C$31</f>
        <v>0.24374247167352459</v>
      </c>
      <c r="D36" s="935">
        <f>G36/SUM($G$35:$G$38)*$G$34+G36</f>
        <v>0.10661773818566284</v>
      </c>
      <c r="E36" s="935">
        <f>E28/E$31</f>
        <v>3.0131301496337248E-2</v>
      </c>
      <c r="F36" s="929"/>
      <c r="G36" s="939">
        <f>D28/D$31</f>
        <v>0.10878131762528463</v>
      </c>
      <c r="H36" s="304"/>
      <c r="I36" s="305">
        <f>D28/D$31*100</f>
        <v>10.878131762528463</v>
      </c>
      <c r="J36" s="304"/>
      <c r="N36" s="304"/>
      <c r="O36" s="293"/>
      <c r="P36" s="293"/>
      <c r="Q36" s="293"/>
      <c r="R36" s="293"/>
      <c r="S36" s="293"/>
    </row>
    <row r="37" spans="2:19" x14ac:dyDescent="0.25">
      <c r="B37" s="929" t="s">
        <v>406</v>
      </c>
      <c r="C37" s="935">
        <f>C29/C$31</f>
        <v>0.50703466010676546</v>
      </c>
      <c r="D37" s="935">
        <f>G37/SUM($G$35:$G$38)*$G$34+G37</f>
        <v>0.56626775345147939</v>
      </c>
      <c r="E37" s="935">
        <f>E29/E$31</f>
        <v>0.47728960923506913</v>
      </c>
      <c r="F37" s="929"/>
      <c r="G37" s="939">
        <f>D29/D$31</f>
        <v>0.57775894890860835</v>
      </c>
      <c r="H37" s="304"/>
      <c r="I37" s="305">
        <f>D29/D$31*100</f>
        <v>57.775894890860833</v>
      </c>
      <c r="J37" s="304"/>
      <c r="N37" s="304"/>
      <c r="O37" s="293"/>
      <c r="P37" s="293"/>
      <c r="Q37" s="293"/>
      <c r="R37" s="293"/>
      <c r="S37" s="293"/>
    </row>
    <row r="38" spans="2:19" x14ac:dyDescent="0.25">
      <c r="B38" s="936" t="s">
        <v>407</v>
      </c>
      <c r="C38" s="937">
        <f>C30/C$31</f>
        <v>6.6309763876052794E-2</v>
      </c>
      <c r="D38" s="937">
        <f>G38/SUM($G$35:$G$38)*$G$34+G38</f>
        <v>0.30388620339106004</v>
      </c>
      <c r="E38" s="937">
        <f>E30/E$31</f>
        <v>0.49247920077556379</v>
      </c>
      <c r="F38" s="936"/>
      <c r="G38" s="940">
        <f>D30/D$31</f>
        <v>0.31005292529709688</v>
      </c>
      <c r="H38" s="304"/>
      <c r="I38" s="305">
        <f>D30/D$31*100</f>
        <v>31.005292529709688</v>
      </c>
      <c r="J38" s="304"/>
      <c r="N38" s="304"/>
      <c r="O38" s="293"/>
      <c r="P38" s="293"/>
      <c r="Q38" s="293"/>
      <c r="R38" s="293"/>
      <c r="S38" s="293"/>
    </row>
    <row r="39" spans="2:19" x14ac:dyDescent="0.25">
      <c r="B39" s="293"/>
      <c r="C39" s="293"/>
      <c r="D39" s="303"/>
      <c r="E39" s="303"/>
      <c r="F39" s="303"/>
      <c r="G39" s="303"/>
      <c r="H39" s="303"/>
      <c r="I39" s="303"/>
      <c r="J39" s="303"/>
      <c r="K39" s="303"/>
      <c r="L39" s="293"/>
      <c r="M39" s="293"/>
      <c r="N39" s="293"/>
      <c r="O39" s="293"/>
      <c r="P39" s="293"/>
      <c r="Q39" s="293"/>
      <c r="R39" s="293"/>
      <c r="S39" s="293"/>
    </row>
    <row r="40" spans="2:19" x14ac:dyDescent="0.25">
      <c r="B40" s="293"/>
      <c r="C40" s="293"/>
      <c r="D40" s="293"/>
      <c r="E40" s="293"/>
      <c r="F40" s="293"/>
      <c r="G40" s="293"/>
      <c r="H40" s="293"/>
      <c r="I40" s="293"/>
      <c r="J40" s="293"/>
      <c r="K40" s="293"/>
      <c r="L40" s="293"/>
      <c r="M40" s="293"/>
      <c r="N40" s="293"/>
      <c r="O40" s="293"/>
      <c r="P40" s="293"/>
      <c r="Q40" s="293"/>
      <c r="R40" s="293"/>
      <c r="S40" s="293"/>
    </row>
  </sheetData>
  <hyperlinks>
    <hyperlink ref="E2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B1:K57"/>
  <sheetViews>
    <sheetView showGridLines="0" zoomScaleNormal="100" zoomScaleSheetLayoutView="90" workbookViewId="0"/>
  </sheetViews>
  <sheetFormatPr defaultColWidth="9.140625" defaultRowHeight="12.75" x14ac:dyDescent="0.2"/>
  <cols>
    <col min="1" max="1" width="3.7109375" style="10" customWidth="1"/>
    <col min="2" max="2" width="9.140625" customWidth="1"/>
    <col min="3" max="6" width="9.140625" style="2" customWidth="1"/>
    <col min="7" max="7" width="9.140625" style="13" customWidth="1"/>
    <col min="8" max="8" width="9.140625" style="62" customWidth="1"/>
    <col min="9" max="16384" width="9.140625" style="10"/>
  </cols>
  <sheetData>
    <row r="1" spans="2:9" customFormat="1" ht="15" customHeight="1" x14ac:dyDescent="0.2">
      <c r="B1" s="475" t="s">
        <v>539</v>
      </c>
      <c r="C1" s="559"/>
      <c r="D1" s="559"/>
      <c r="E1" s="559"/>
      <c r="F1" s="559"/>
      <c r="G1" s="559"/>
      <c r="H1" s="559"/>
    </row>
    <row r="2" spans="2:9" customFormat="1" ht="13.35" customHeight="1" x14ac:dyDescent="0.2">
      <c r="B2" s="1"/>
      <c r="C2" s="1"/>
      <c r="D2" s="1"/>
      <c r="E2" s="1"/>
      <c r="F2" s="1"/>
      <c r="G2" s="1"/>
      <c r="H2" s="1"/>
    </row>
    <row r="3" spans="2:9" customFormat="1" ht="13.35" customHeight="1" x14ac:dyDescent="0.2">
      <c r="B3" s="1"/>
      <c r="C3" s="1"/>
      <c r="D3" s="1"/>
      <c r="E3" s="1"/>
      <c r="F3" s="1"/>
      <c r="G3" s="1"/>
      <c r="H3" s="1"/>
    </row>
    <row r="4" spans="2:9" customFormat="1" ht="13.35" customHeight="1" x14ac:dyDescent="0.2">
      <c r="B4" s="1"/>
      <c r="C4" s="1"/>
      <c r="D4" s="1"/>
      <c r="E4" s="1"/>
      <c r="F4" s="1"/>
      <c r="G4" s="1"/>
      <c r="H4" s="1"/>
    </row>
    <row r="5" spans="2:9" customFormat="1" ht="13.35" customHeight="1" x14ac:dyDescent="0.2">
      <c r="B5" s="1"/>
      <c r="C5" s="1"/>
      <c r="D5" s="1"/>
      <c r="E5" s="1"/>
      <c r="F5" s="1"/>
      <c r="G5" s="1"/>
      <c r="H5" s="1"/>
      <c r="I5" s="10"/>
    </row>
    <row r="6" spans="2:9" customFormat="1" ht="13.35" customHeight="1" x14ac:dyDescent="0.2">
      <c r="B6" s="1"/>
      <c r="C6" s="1"/>
      <c r="D6" s="1"/>
      <c r="E6" s="1"/>
      <c r="F6" s="1"/>
      <c r="G6" s="1"/>
      <c r="H6" s="1"/>
    </row>
    <row r="7" spans="2:9" customFormat="1" ht="13.35" customHeight="1" x14ac:dyDescent="0.2">
      <c r="B7" s="1"/>
      <c r="C7" s="1"/>
      <c r="D7" s="1"/>
      <c r="E7" s="1"/>
      <c r="F7" s="1"/>
      <c r="G7" s="1"/>
      <c r="H7" s="1"/>
    </row>
    <row r="8" spans="2:9" customFormat="1" ht="13.35" customHeight="1" x14ac:dyDescent="0.2">
      <c r="B8" s="1"/>
      <c r="C8" s="1"/>
      <c r="D8" s="1"/>
      <c r="E8" s="1"/>
      <c r="F8" s="1"/>
      <c r="G8" s="1"/>
      <c r="H8" s="1"/>
    </row>
    <row r="9" spans="2:9" customFormat="1" ht="13.35" customHeight="1" x14ac:dyDescent="0.2">
      <c r="B9" s="1"/>
      <c r="C9" s="1"/>
      <c r="D9" s="1"/>
      <c r="E9" s="1"/>
      <c r="F9" s="1"/>
      <c r="G9" s="1"/>
      <c r="H9" s="1"/>
    </row>
    <row r="10" spans="2:9" s="1" customFormat="1" ht="13.35" customHeight="1" x14ac:dyDescent="0.2"/>
    <row r="11" spans="2:9" s="1" customFormat="1" ht="13.35" customHeight="1" x14ac:dyDescent="0.2"/>
    <row r="12" spans="2:9" s="1" customFormat="1" ht="13.35" customHeight="1" x14ac:dyDescent="0.2"/>
    <row r="13" spans="2:9" s="1" customFormat="1" ht="13.35" customHeight="1" x14ac:dyDescent="0.2"/>
    <row r="14" spans="2:9" s="1" customFormat="1" ht="13.35" customHeight="1" x14ac:dyDescent="0.2"/>
    <row r="15" spans="2:9" customFormat="1" ht="13.35" customHeight="1" x14ac:dyDescent="0.2">
      <c r="B15" s="1"/>
      <c r="C15" s="1"/>
      <c r="D15" s="1"/>
      <c r="E15" s="1"/>
      <c r="F15" s="1"/>
      <c r="G15" s="1"/>
      <c r="H15" s="1"/>
    </row>
    <row r="16" spans="2:9" customFormat="1" ht="13.35" customHeight="1" x14ac:dyDescent="0.2">
      <c r="B16" s="1"/>
      <c r="C16" s="1"/>
      <c r="D16" s="1"/>
      <c r="E16" s="1"/>
      <c r="F16" s="1"/>
      <c r="G16" s="1"/>
      <c r="H16" s="1"/>
    </row>
    <row r="17" spans="2:11" customFormat="1" ht="13.35" customHeight="1" x14ac:dyDescent="0.2">
      <c r="B17" s="1"/>
      <c r="C17" s="1"/>
      <c r="D17" s="1"/>
      <c r="E17" s="1"/>
      <c r="F17" s="1"/>
      <c r="G17" s="1"/>
      <c r="H17" s="1"/>
    </row>
    <row r="18" spans="2:11" customFormat="1" ht="13.35" customHeight="1" x14ac:dyDescent="0.2">
      <c r="B18" s="1"/>
      <c r="C18" s="1"/>
      <c r="D18" s="1"/>
      <c r="E18" s="1"/>
      <c r="F18" s="1"/>
      <c r="G18" s="1"/>
      <c r="H18" s="1"/>
    </row>
    <row r="19" spans="2:11" customFormat="1" ht="13.35" customHeight="1" x14ac:dyDescent="0.2">
      <c r="B19" s="1"/>
      <c r="C19" s="1"/>
      <c r="D19" s="1"/>
      <c r="E19" s="1"/>
      <c r="F19" s="1"/>
      <c r="G19" s="1"/>
      <c r="H19" s="1"/>
    </row>
    <row r="20" spans="2:11" customFormat="1" ht="13.35" customHeight="1" x14ac:dyDescent="0.2">
      <c r="B20" s="1"/>
      <c r="C20" s="1"/>
      <c r="D20" s="1"/>
      <c r="E20" s="1"/>
      <c r="F20" s="1"/>
      <c r="G20" s="1"/>
      <c r="H20" s="1"/>
    </row>
    <row r="21" spans="2:11" customFormat="1" ht="13.35" customHeight="1" x14ac:dyDescent="0.2">
      <c r="B21" s="1"/>
      <c r="C21" s="1"/>
      <c r="D21" s="1"/>
      <c r="E21" s="1"/>
      <c r="F21" s="1"/>
      <c r="G21" s="1"/>
      <c r="H21" s="1"/>
    </row>
    <row r="22" spans="2:11" customFormat="1" ht="13.35" customHeight="1" x14ac:dyDescent="0.2">
      <c r="H22" s="1"/>
    </row>
    <row r="23" spans="2:11" customFormat="1" ht="13.35" customHeight="1" x14ac:dyDescent="0.2">
      <c r="H23" s="1"/>
    </row>
    <row r="24" spans="2:11" customFormat="1" ht="13.35" customHeight="1" x14ac:dyDescent="0.2">
      <c r="H24" s="1"/>
    </row>
    <row r="25" spans="2:11" customFormat="1" ht="13.35" customHeight="1" x14ac:dyDescent="0.2">
      <c r="H25" s="1"/>
    </row>
    <row r="26" spans="2:11" customFormat="1" ht="13.35" customHeight="1" x14ac:dyDescent="0.2">
      <c r="H26" s="1"/>
      <c r="K26" s="10"/>
    </row>
    <row r="27" spans="2:11" customFormat="1" ht="13.35" customHeight="1" x14ac:dyDescent="0.2">
      <c r="H27" s="1"/>
    </row>
    <row r="28" spans="2:11" customFormat="1" ht="13.35" customHeight="1" x14ac:dyDescent="0.2">
      <c r="H28" s="1"/>
    </row>
    <row r="29" spans="2:11" customFormat="1" ht="13.35" customHeight="1" x14ac:dyDescent="0.2">
      <c r="H29" s="1"/>
    </row>
    <row r="30" spans="2:11" customFormat="1" ht="13.35" customHeight="1" x14ac:dyDescent="0.2">
      <c r="H30" s="1"/>
    </row>
    <row r="31" spans="2:11" customFormat="1" ht="13.35" customHeight="1" x14ac:dyDescent="0.2">
      <c r="H31" s="1"/>
    </row>
    <row r="32" spans="2:11" customFormat="1" ht="13.35" customHeight="1" x14ac:dyDescent="0.2">
      <c r="E32" s="352" t="s">
        <v>371</v>
      </c>
      <c r="H32" s="1"/>
    </row>
    <row r="33" spans="2:8" customFormat="1" ht="13.35" customHeight="1" x14ac:dyDescent="0.2">
      <c r="H33" s="1"/>
    </row>
    <row r="34" spans="2:8" customFormat="1" ht="13.35" customHeight="1" x14ac:dyDescent="0.2">
      <c r="B34" s="141" t="s">
        <v>311</v>
      </c>
      <c r="C34" s="142"/>
      <c r="D34" s="142"/>
      <c r="E34" s="142"/>
      <c r="F34" s="143"/>
      <c r="G34" s="13"/>
      <c r="H34" s="1"/>
    </row>
    <row r="35" spans="2:8" customFormat="1" ht="13.35" customHeight="1" x14ac:dyDescent="0.2">
      <c r="B35" s="561" t="s">
        <v>168</v>
      </c>
      <c r="C35" s="567" t="s">
        <v>198</v>
      </c>
      <c r="D35" s="569" t="s">
        <v>213</v>
      </c>
      <c r="E35" s="569" t="s">
        <v>353</v>
      </c>
      <c r="F35" s="569" t="s">
        <v>404</v>
      </c>
      <c r="G35" s="13"/>
      <c r="H35" s="762"/>
    </row>
    <row r="36" spans="2:8" customFormat="1" ht="13.35" customHeight="1" x14ac:dyDescent="0.2">
      <c r="B36" s="562" t="s">
        <v>487</v>
      </c>
      <c r="C36" s="344"/>
      <c r="D36" s="344"/>
      <c r="E36" s="344"/>
      <c r="F36" s="344"/>
      <c r="G36" s="13"/>
      <c r="H36" s="761"/>
    </row>
    <row r="37" spans="2:8" customFormat="1" ht="13.35" customHeight="1" x14ac:dyDescent="0.2">
      <c r="B37" s="563" t="s">
        <v>9</v>
      </c>
      <c r="C37" s="24">
        <f>A2.1.3!E4</f>
        <v>369116</v>
      </c>
      <c r="D37" s="24">
        <f>A2.1.3!H4</f>
        <v>394227</v>
      </c>
      <c r="E37" s="24">
        <f>A2.1.3!K4</f>
        <v>408733</v>
      </c>
      <c r="F37" s="24">
        <f>A2.1.3!N4</f>
        <v>394696</v>
      </c>
      <c r="G37" s="13"/>
      <c r="H37" s="6"/>
    </row>
    <row r="38" spans="2:8" customFormat="1" ht="13.35" customHeight="1" x14ac:dyDescent="0.2">
      <c r="B38" s="563" t="s">
        <v>10</v>
      </c>
      <c r="C38" s="24">
        <f>A2.1.3!E5</f>
        <v>208742</v>
      </c>
      <c r="D38" s="24">
        <f>A2.1.3!H5</f>
        <v>220261</v>
      </c>
      <c r="E38" s="24">
        <f>A2.1.3!K5</f>
        <v>227721</v>
      </c>
      <c r="F38" s="24">
        <f>A2.1.3!N5</f>
        <v>228789</v>
      </c>
      <c r="G38" s="13"/>
      <c r="H38" s="6"/>
    </row>
    <row r="39" spans="2:8" customFormat="1" ht="13.35" customHeight="1" x14ac:dyDescent="0.2">
      <c r="B39" s="563" t="s">
        <v>11</v>
      </c>
      <c r="C39" s="24">
        <f>A2.1.3!E6</f>
        <v>1908930</v>
      </c>
      <c r="D39" s="24">
        <f>A2.1.3!H6</f>
        <v>2012168</v>
      </c>
      <c r="E39" s="24">
        <f>A2.1.3!K6</f>
        <v>2085349</v>
      </c>
      <c r="F39" s="24">
        <f>A2.1.3!N6</f>
        <v>2049928</v>
      </c>
      <c r="G39" s="13"/>
      <c r="H39" s="6"/>
    </row>
    <row r="40" spans="2:8" customFormat="1" ht="13.35" customHeight="1" x14ac:dyDescent="0.2">
      <c r="B40" s="563" t="s">
        <v>69</v>
      </c>
      <c r="C40" s="24">
        <f>A2.1.3!E7</f>
        <v>722975</v>
      </c>
      <c r="D40" s="24">
        <f>A2.1.3!H7</f>
        <v>765617</v>
      </c>
      <c r="E40" s="24">
        <f>A2.1.3!K7</f>
        <v>779576</v>
      </c>
      <c r="F40" s="24">
        <f>A2.1.3!N7</f>
        <v>766075</v>
      </c>
      <c r="G40" s="13"/>
      <c r="H40" s="6"/>
    </row>
    <row r="41" spans="2:8" customFormat="1" ht="13.35" customHeight="1" x14ac:dyDescent="0.2">
      <c r="B41" s="563" t="s">
        <v>12</v>
      </c>
      <c r="C41" s="24">
        <f>A2.1.3!E8</f>
        <v>193776</v>
      </c>
      <c r="D41" s="24">
        <f>A2.1.3!H8</f>
        <v>215881</v>
      </c>
      <c r="E41" s="24">
        <f>A2.1.3!K8</f>
        <v>231873</v>
      </c>
      <c r="F41" s="24">
        <f>A2.1.3!N8</f>
        <v>238248</v>
      </c>
      <c r="G41" s="13"/>
      <c r="H41" s="6"/>
    </row>
    <row r="42" spans="2:8" ht="13.35" customHeight="1" x14ac:dyDescent="0.2">
      <c r="B42" s="563" t="s">
        <v>13</v>
      </c>
      <c r="C42" s="24">
        <f>A2.1.3!E9</f>
        <v>242176</v>
      </c>
      <c r="D42" s="24">
        <f>A2.1.3!H9</f>
        <v>267541</v>
      </c>
      <c r="E42" s="24">
        <f>A2.1.3!K9</f>
        <v>297796</v>
      </c>
      <c r="F42" s="24">
        <f>A2.1.3!N9</f>
        <v>300217</v>
      </c>
      <c r="H42" s="6"/>
    </row>
    <row r="43" spans="2:8" ht="13.35" customHeight="1" x14ac:dyDescent="0.2">
      <c r="B43" s="563" t="s">
        <v>14</v>
      </c>
      <c r="C43" s="24">
        <f>A2.1.3!E10</f>
        <v>202080</v>
      </c>
      <c r="D43" s="24">
        <f>A2.1.3!H10</f>
        <v>223561</v>
      </c>
      <c r="E43" s="24">
        <f>A2.1.3!K10</f>
        <v>246204</v>
      </c>
      <c r="F43" s="24">
        <f>A2.1.3!N10</f>
        <v>249159</v>
      </c>
      <c r="H43" s="6"/>
    </row>
    <row r="44" spans="2:8" ht="13.35" customHeight="1" x14ac:dyDescent="0.2">
      <c r="B44" s="563" t="s">
        <v>15</v>
      </c>
      <c r="C44" s="24">
        <f>A2.1.3!E11</f>
        <v>72295</v>
      </c>
      <c r="D44" s="24">
        <f>A2.1.3!H11</f>
        <v>79569</v>
      </c>
      <c r="E44" s="24">
        <f>A2.1.3!K11</f>
        <v>86188</v>
      </c>
      <c r="F44" s="24">
        <f>A2.1.3!N11</f>
        <v>87908</v>
      </c>
      <c r="H44" s="6"/>
    </row>
    <row r="45" spans="2:8" ht="13.35" customHeight="1" x14ac:dyDescent="0.2">
      <c r="B45" s="564" t="s">
        <v>16</v>
      </c>
      <c r="C45" s="550">
        <f>A2.1.3!E12</f>
        <v>792619</v>
      </c>
      <c r="D45" s="550">
        <f>A2.1.3!H12</f>
        <v>822733</v>
      </c>
      <c r="E45" s="550">
        <f>A2.1.3!K12</f>
        <v>835920</v>
      </c>
      <c r="F45" s="550">
        <f>A2.1.3!N12</f>
        <v>793187</v>
      </c>
      <c r="H45" s="6"/>
    </row>
    <row r="46" spans="2:8" ht="13.35" customHeight="1" x14ac:dyDescent="0.2">
      <c r="B46" s="565" t="s">
        <v>8</v>
      </c>
      <c r="C46" s="346">
        <f t="shared" ref="C46" si="0">SUM(C37:C45)</f>
        <v>4712709</v>
      </c>
      <c r="D46" s="346">
        <f>SUM(D37:D45)</f>
        <v>5001558</v>
      </c>
      <c r="E46" s="346">
        <f>SUM(E37:E45)</f>
        <v>5199360</v>
      </c>
      <c r="F46" s="346">
        <f>SUM(F37:F45)</f>
        <v>5108207</v>
      </c>
      <c r="H46" s="6"/>
    </row>
    <row r="47" spans="2:8" ht="13.35" customHeight="1" x14ac:dyDescent="0.2">
      <c r="B47" s="566"/>
      <c r="C47" s="531"/>
      <c r="D47" s="531"/>
      <c r="E47" s="531"/>
      <c r="F47" s="531"/>
    </row>
    <row r="48" spans="2:8" ht="13.35" customHeight="1" x14ac:dyDescent="0.2">
      <c r="B48" s="563" t="s">
        <v>9</v>
      </c>
      <c r="C48" s="113">
        <f>A2.1.3!E15</f>
        <v>7.8323528993621286E-2</v>
      </c>
      <c r="D48" s="113">
        <f>A2.1.3!H15</f>
        <v>7.8820839426434725E-2</v>
      </c>
      <c r="E48" s="113">
        <f>A2.1.3!K15</f>
        <v>7.8612175344657809E-2</v>
      </c>
      <c r="F48" s="113">
        <f>A2.1.3!N15</f>
        <v>7.7267033227118628E-2</v>
      </c>
    </row>
    <row r="49" spans="2:6" ht="13.35" customHeight="1" x14ac:dyDescent="0.2">
      <c r="B49" s="563" t="s">
        <v>10</v>
      </c>
      <c r="C49" s="113">
        <f>A2.1.3!E16</f>
        <v>4.429342019632445E-2</v>
      </c>
      <c r="D49" s="113">
        <f>A2.1.3!H16</f>
        <v>4.403847761037661E-2</v>
      </c>
      <c r="E49" s="113">
        <f>A2.1.3!K16</f>
        <v>4.379789050960118E-2</v>
      </c>
      <c r="F49" s="113">
        <f>A2.1.3!N16</f>
        <v>4.4788513856231747E-2</v>
      </c>
    </row>
    <row r="50" spans="2:6" ht="13.35" customHeight="1" x14ac:dyDescent="0.2">
      <c r="B50" s="563" t="s">
        <v>11</v>
      </c>
      <c r="C50" s="113">
        <f>A2.1.3!E17</f>
        <v>0.40506001961928906</v>
      </c>
      <c r="D50" s="113">
        <f>A2.1.3!H17</f>
        <v>0.40230824075218163</v>
      </c>
      <c r="E50" s="113">
        <f>A2.1.3!K17</f>
        <v>0.40107801729443626</v>
      </c>
      <c r="F50" s="113">
        <f>A2.1.3!N17</f>
        <v>0.40130088698441546</v>
      </c>
    </row>
    <row r="51" spans="2:6" ht="13.35" customHeight="1" x14ac:dyDescent="0.2">
      <c r="B51" s="563" t="s">
        <v>69</v>
      </c>
      <c r="C51" s="113">
        <f>A2.1.3!E18</f>
        <v>0.15340964188537845</v>
      </c>
      <c r="D51" s="113">
        <f>A2.1.3!H18</f>
        <v>0.1530757016113779</v>
      </c>
      <c r="E51" s="113">
        <f>A2.1.3!K18</f>
        <v>0.14993691531265388</v>
      </c>
      <c r="F51" s="113">
        <f>A2.1.3!N18</f>
        <v>0.14996945112052038</v>
      </c>
    </row>
    <row r="52" spans="2:6" ht="13.35" customHeight="1" x14ac:dyDescent="0.2">
      <c r="B52" s="563" t="s">
        <v>12</v>
      </c>
      <c r="C52" s="113">
        <f>A2.1.3!E19</f>
        <v>4.1117752019061649E-2</v>
      </c>
      <c r="D52" s="113">
        <f>A2.1.3!H19</f>
        <v>4.3162750486948266E-2</v>
      </c>
      <c r="E52" s="113">
        <f>A2.1.3!K19</f>
        <v>4.4596450332348596E-2</v>
      </c>
      <c r="F52" s="113">
        <f>A2.1.3!N19</f>
        <v>4.6640239911969111E-2</v>
      </c>
    </row>
    <row r="53" spans="2:6" ht="13.35" customHeight="1" x14ac:dyDescent="0.2">
      <c r="B53" s="563" t="s">
        <v>13</v>
      </c>
      <c r="C53" s="113">
        <f>A2.1.3!E20</f>
        <v>5.1387853567873593E-2</v>
      </c>
      <c r="D53" s="113">
        <f>A2.1.3!H20</f>
        <v>5.3491532038616764E-2</v>
      </c>
      <c r="E53" s="113">
        <f>A2.1.3!K20</f>
        <v>5.727551083210241E-2</v>
      </c>
      <c r="F53" s="113">
        <f>A2.1.3!N20</f>
        <v>5.8771502407792012E-2</v>
      </c>
    </row>
    <row r="54" spans="2:6" ht="13.35" customHeight="1" x14ac:dyDescent="0.2">
      <c r="B54" s="563" t="s">
        <v>14</v>
      </c>
      <c r="C54" s="113">
        <f>A2.1.3!E21</f>
        <v>4.2879795888097483E-2</v>
      </c>
      <c r="D54" s="113">
        <f>A2.1.3!H21</f>
        <v>4.4698272018439053E-2</v>
      </c>
      <c r="E54" s="113">
        <f>A2.1.3!K21</f>
        <v>4.7352751107828654E-2</v>
      </c>
      <c r="F54" s="113">
        <f>A2.1.3!N21</f>
        <v>4.8776214432970318E-2</v>
      </c>
    </row>
    <row r="55" spans="2:6" ht="13.35" customHeight="1" x14ac:dyDescent="0.2">
      <c r="B55" s="563" t="s">
        <v>15</v>
      </c>
      <c r="C55" s="113">
        <f>A2.1.3!E22</f>
        <v>1.5340433708085945E-2</v>
      </c>
      <c r="D55" s="113">
        <f>A2.1.3!H22</f>
        <v>1.5908842804582091E-2</v>
      </c>
      <c r="E55" s="113">
        <f>A2.1.3!K22</f>
        <v>1.6576655588380108E-2</v>
      </c>
      <c r="F55" s="113">
        <f>A2.1.3!N22</f>
        <v>1.7209169479623674E-2</v>
      </c>
    </row>
    <row r="56" spans="2:6" ht="13.35" customHeight="1" x14ac:dyDescent="0.2">
      <c r="B56" s="564" t="s">
        <v>16</v>
      </c>
      <c r="C56" s="568">
        <f>A2.1.3!E23</f>
        <v>0.1681875541222681</v>
      </c>
      <c r="D56" s="568">
        <f>A2.1.3!H23</f>
        <v>0.16449534325104298</v>
      </c>
      <c r="E56" s="568">
        <f>A2.1.3!K23</f>
        <v>0.16077363367799113</v>
      </c>
      <c r="F56" s="568">
        <f>A2.1.3!N23</f>
        <v>0.15527698857935868</v>
      </c>
    </row>
    <row r="57" spans="2:6" ht="13.35" customHeight="1" x14ac:dyDescent="0.2"/>
  </sheetData>
  <hyperlinks>
    <hyperlink ref="E32" location="CONTENTS!A1" display="BACK TO CONTENTS"/>
  </hyperlinks>
  <pageMargins left="0.98425196850393704" right="0.98425196850393704" top="0.98425196850393704" bottom="0.98425196850393704" header="0.51181102362204722" footer="0.51181102362204722"/>
  <pageSetup paperSize="9" scale="81"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7" tint="-0.249977111117893"/>
    <pageSetUpPr fitToPage="1"/>
  </sheetPr>
  <dimension ref="B1:I46"/>
  <sheetViews>
    <sheetView showGridLines="0" zoomScaleNormal="100" zoomScaleSheetLayoutView="90" workbookViewId="0"/>
  </sheetViews>
  <sheetFormatPr defaultColWidth="9.140625" defaultRowHeight="12.75" x14ac:dyDescent="0.2"/>
  <cols>
    <col min="1" max="1" width="3.7109375" style="10" customWidth="1"/>
    <col min="2" max="2" width="9.140625" customWidth="1"/>
    <col min="3" max="6" width="9.140625" style="2" customWidth="1"/>
    <col min="7" max="7" width="9.140625" style="13" customWidth="1"/>
    <col min="8" max="8" width="9.140625" style="62" customWidth="1"/>
    <col min="9" max="16384" width="9.140625" style="10"/>
  </cols>
  <sheetData>
    <row r="1" spans="2:9" customFormat="1" ht="15" customHeight="1" x14ac:dyDescent="0.2">
      <c r="B1" s="475" t="s">
        <v>538</v>
      </c>
      <c r="C1" s="559"/>
      <c r="D1" s="559"/>
      <c r="E1" s="559"/>
      <c r="F1" s="559"/>
      <c r="G1" s="559"/>
      <c r="H1" s="559"/>
    </row>
    <row r="2" spans="2:9" customFormat="1" ht="13.35" customHeight="1" x14ac:dyDescent="0.2">
      <c r="B2" s="1"/>
      <c r="C2" s="1"/>
      <c r="D2" s="1"/>
      <c r="E2" s="1"/>
      <c r="F2" s="1"/>
      <c r="G2" s="1"/>
      <c r="H2" s="1"/>
    </row>
    <row r="3" spans="2:9" customFormat="1" ht="13.35" customHeight="1" x14ac:dyDescent="0.2">
      <c r="B3" s="1"/>
      <c r="C3" s="1"/>
      <c r="D3" s="1"/>
      <c r="E3" s="1"/>
      <c r="F3" s="1"/>
      <c r="G3" s="1"/>
      <c r="H3" s="1"/>
    </row>
    <row r="4" spans="2:9" customFormat="1" ht="13.35" customHeight="1" x14ac:dyDescent="0.2">
      <c r="B4" s="1"/>
      <c r="C4" s="1"/>
      <c r="D4" s="1"/>
      <c r="E4" s="1"/>
      <c r="F4" s="1"/>
      <c r="G4" s="1"/>
      <c r="H4" s="1"/>
    </row>
    <row r="5" spans="2:9" customFormat="1" ht="13.35" customHeight="1" x14ac:dyDescent="0.2">
      <c r="B5" s="1"/>
      <c r="C5" s="1"/>
      <c r="D5" s="1"/>
      <c r="E5" s="1"/>
      <c r="F5" s="1"/>
      <c r="G5" s="1"/>
      <c r="H5" s="1"/>
      <c r="I5" s="10"/>
    </row>
    <row r="6" spans="2:9" customFormat="1" ht="13.35" customHeight="1" x14ac:dyDescent="0.2">
      <c r="B6" s="1"/>
      <c r="C6" s="1"/>
      <c r="D6" s="1"/>
      <c r="E6" s="1"/>
      <c r="F6" s="1"/>
      <c r="G6" s="1"/>
      <c r="H6" s="1"/>
    </row>
    <row r="7" spans="2:9" customFormat="1" ht="13.35" customHeight="1" x14ac:dyDescent="0.2">
      <c r="B7" s="1"/>
      <c r="C7" s="1"/>
      <c r="D7" s="1"/>
      <c r="E7" s="1"/>
      <c r="F7" s="1"/>
      <c r="G7" s="1"/>
      <c r="H7" s="1"/>
    </row>
    <row r="8" spans="2:9" customFormat="1" ht="13.35" customHeight="1" x14ac:dyDescent="0.2">
      <c r="B8" s="1"/>
      <c r="C8" s="1"/>
      <c r="D8" s="1"/>
      <c r="E8" s="1"/>
      <c r="F8" s="1"/>
      <c r="G8" s="1"/>
      <c r="H8" s="1"/>
    </row>
    <row r="9" spans="2:9" customFormat="1" ht="13.35" customHeight="1" x14ac:dyDescent="0.2">
      <c r="B9" s="1"/>
      <c r="C9" s="1"/>
      <c r="D9" s="1"/>
      <c r="E9" s="1"/>
      <c r="F9" s="1"/>
      <c r="G9" s="1"/>
      <c r="H9" s="1"/>
    </row>
    <row r="10" spans="2:9" s="1" customFormat="1" ht="13.35" customHeight="1" x14ac:dyDescent="0.2"/>
    <row r="11" spans="2:9" s="1" customFormat="1" ht="13.35" customHeight="1" x14ac:dyDescent="0.2"/>
    <row r="12" spans="2:9" s="1" customFormat="1" ht="13.35" customHeight="1" x14ac:dyDescent="0.2"/>
    <row r="13" spans="2:9" s="1" customFormat="1" ht="13.35" customHeight="1" x14ac:dyDescent="0.2"/>
    <row r="14" spans="2:9" s="1" customFormat="1" ht="13.35" customHeight="1" x14ac:dyDescent="0.2"/>
    <row r="15" spans="2:9" customFormat="1" ht="13.35" customHeight="1" x14ac:dyDescent="0.2">
      <c r="B15" s="1"/>
      <c r="C15" s="1"/>
      <c r="D15" s="1"/>
      <c r="E15" s="1"/>
      <c r="F15" s="1"/>
      <c r="G15" s="1"/>
      <c r="H15" s="1"/>
    </row>
    <row r="16" spans="2:9" customFormat="1" ht="13.35" customHeight="1" x14ac:dyDescent="0.2">
      <c r="B16" s="1"/>
      <c r="C16" s="1"/>
      <c r="D16" s="1"/>
      <c r="E16" s="1"/>
      <c r="F16" s="1"/>
      <c r="G16" s="1"/>
      <c r="H16" s="1"/>
    </row>
    <row r="17" spans="2:8" customFormat="1" ht="13.35" customHeight="1" x14ac:dyDescent="0.2">
      <c r="B17" s="1"/>
      <c r="C17" s="1"/>
      <c r="D17" s="1"/>
      <c r="E17" s="1"/>
      <c r="F17" s="1"/>
      <c r="G17" s="1"/>
      <c r="H17" s="1"/>
    </row>
    <row r="18" spans="2:8" customFormat="1" ht="13.35" customHeight="1" x14ac:dyDescent="0.2">
      <c r="B18" s="1"/>
      <c r="C18" s="1"/>
      <c r="D18" s="1"/>
      <c r="E18" s="1"/>
      <c r="F18" s="1"/>
      <c r="G18" s="1"/>
      <c r="H18" s="1"/>
    </row>
    <row r="19" spans="2:8" customFormat="1" ht="13.35" customHeight="1" x14ac:dyDescent="0.2">
      <c r="B19" s="1"/>
      <c r="C19" s="1"/>
      <c r="D19" s="1"/>
      <c r="E19" s="1"/>
      <c r="F19" s="1"/>
      <c r="G19" s="1"/>
      <c r="H19" s="1"/>
    </row>
    <row r="20" spans="2:8" customFormat="1" ht="13.35" customHeight="1" x14ac:dyDescent="0.2">
      <c r="B20" s="1"/>
      <c r="C20" s="1"/>
      <c r="D20" s="1"/>
      <c r="E20" s="1"/>
      <c r="F20" s="1"/>
      <c r="G20" s="1"/>
      <c r="H20" s="1"/>
    </row>
    <row r="21" spans="2:8" customFormat="1" ht="13.35" customHeight="1" x14ac:dyDescent="0.2">
      <c r="B21" s="1"/>
      <c r="C21" s="1"/>
      <c r="D21" s="1"/>
      <c r="E21" s="1"/>
      <c r="F21" s="1"/>
      <c r="G21" s="1"/>
      <c r="H21" s="1"/>
    </row>
    <row r="22" spans="2:8" customFormat="1" ht="13.35" customHeight="1" x14ac:dyDescent="0.2">
      <c r="B22" s="100"/>
      <c r="C22" s="1"/>
      <c r="D22" s="1"/>
      <c r="E22" s="1"/>
      <c r="F22" s="1"/>
      <c r="G22" s="1"/>
      <c r="H22" s="1"/>
    </row>
    <row r="23" spans="2:8" customFormat="1" ht="13.35" customHeight="1" x14ac:dyDescent="0.2">
      <c r="B23" s="1"/>
      <c r="C23" s="1"/>
      <c r="D23" s="1"/>
      <c r="E23" s="352" t="s">
        <v>371</v>
      </c>
      <c r="F23" s="1"/>
      <c r="G23" s="1"/>
      <c r="H23" s="1"/>
    </row>
    <row r="24" spans="2:8" customFormat="1" ht="13.35" customHeight="1" x14ac:dyDescent="0.2">
      <c r="H24" s="1"/>
    </row>
    <row r="25" spans="2:8" customFormat="1" ht="13.35" customHeight="1" x14ac:dyDescent="0.2">
      <c r="B25" s="141" t="s">
        <v>409</v>
      </c>
      <c r="C25" s="142"/>
      <c r="D25" s="142"/>
      <c r="E25" s="142"/>
      <c r="F25" s="143"/>
      <c r="G25" s="13"/>
      <c r="H25" s="1"/>
    </row>
    <row r="26" spans="2:8" customFormat="1" ht="13.35" customHeight="1" x14ac:dyDescent="0.2">
      <c r="B26" s="561" t="s">
        <v>168</v>
      </c>
      <c r="C26" s="567" t="s">
        <v>198</v>
      </c>
      <c r="D26" s="569" t="s">
        <v>213</v>
      </c>
      <c r="E26" s="569" t="s">
        <v>353</v>
      </c>
      <c r="F26" s="569" t="s">
        <v>404</v>
      </c>
      <c r="G26" s="13"/>
      <c r="H26" s="6"/>
    </row>
    <row r="27" spans="2:8" customFormat="1" ht="13.35" customHeight="1" x14ac:dyDescent="0.2">
      <c r="B27" s="562" t="s">
        <v>159</v>
      </c>
      <c r="C27" s="344"/>
      <c r="D27" s="344"/>
      <c r="E27" s="344"/>
      <c r="F27" s="344"/>
      <c r="G27" s="13"/>
      <c r="H27" s="6"/>
    </row>
    <row r="28" spans="2:8" customFormat="1" ht="13.35" customHeight="1" x14ac:dyDescent="0.2">
      <c r="B28" s="563" t="s">
        <v>97</v>
      </c>
      <c r="C28" s="24">
        <f>A2.1.4!E4</f>
        <v>17974</v>
      </c>
      <c r="D28" s="24">
        <f>A2.1.4!H4</f>
        <v>17899</v>
      </c>
      <c r="E28" s="24">
        <f>A2.1.4!K4</f>
        <v>17522</v>
      </c>
      <c r="F28" s="24">
        <f>A2.1.4!N4</f>
        <v>16326</v>
      </c>
      <c r="G28" s="13"/>
      <c r="H28" s="6"/>
    </row>
    <row r="29" spans="2:8" customFormat="1" ht="13.35" customHeight="1" x14ac:dyDescent="0.2">
      <c r="B29" s="563" t="s">
        <v>98</v>
      </c>
      <c r="C29" s="24">
        <f>A2.1.4!E5</f>
        <v>114127</v>
      </c>
      <c r="D29" s="24">
        <f>A2.1.4!H5</f>
        <v>115145</v>
      </c>
      <c r="E29" s="24">
        <f>A2.1.4!K5</f>
        <v>129318</v>
      </c>
      <c r="F29" s="24">
        <f>A2.1.4!N5</f>
        <v>122750</v>
      </c>
      <c r="G29" s="13"/>
      <c r="H29" s="6"/>
    </row>
    <row r="30" spans="2:8" customFormat="1" ht="13.35" customHeight="1" x14ac:dyDescent="0.2">
      <c r="B30" s="563" t="s">
        <v>99</v>
      </c>
      <c r="C30" s="24">
        <f>A2.1.4!E6</f>
        <v>1057897</v>
      </c>
      <c r="D30" s="24">
        <f>A2.1.4!H6</f>
        <v>1151853</v>
      </c>
      <c r="E30" s="24">
        <f>A2.1.4!K6</f>
        <v>1253748</v>
      </c>
      <c r="F30" s="24">
        <f>A2.1.4!N6</f>
        <v>1250124</v>
      </c>
      <c r="G30" s="13"/>
      <c r="H30" s="6"/>
    </row>
    <row r="31" spans="2:8" customFormat="1" ht="13.35" customHeight="1" x14ac:dyDescent="0.2">
      <c r="B31" s="563" t="s">
        <v>100</v>
      </c>
      <c r="C31" s="24">
        <f>A2.1.4!E7</f>
        <v>1342778</v>
      </c>
      <c r="D31" s="24">
        <f>A2.1.4!H7</f>
        <v>1408822</v>
      </c>
      <c r="E31" s="24">
        <f>A2.1.4!K7</f>
        <v>1445111</v>
      </c>
      <c r="F31" s="24">
        <f>A2.1.4!N7</f>
        <v>1406477</v>
      </c>
      <c r="G31" s="13"/>
      <c r="H31" s="6"/>
    </row>
    <row r="32" spans="2:8" customFormat="1" ht="13.35" customHeight="1" x14ac:dyDescent="0.2">
      <c r="B32" s="563" t="s">
        <v>101</v>
      </c>
      <c r="C32" s="24">
        <f>A2.1.4!E8</f>
        <v>1115282</v>
      </c>
      <c r="D32" s="24">
        <f>A2.1.4!H8</f>
        <v>1168354</v>
      </c>
      <c r="E32" s="24">
        <f>A2.1.4!K8</f>
        <v>1184480</v>
      </c>
      <c r="F32" s="24">
        <f>A2.1.4!N8</f>
        <v>1156780</v>
      </c>
      <c r="G32" s="13"/>
      <c r="H32" s="6"/>
    </row>
    <row r="33" spans="2:8" ht="13.35" customHeight="1" x14ac:dyDescent="0.2">
      <c r="B33" s="563" t="s">
        <v>102</v>
      </c>
      <c r="C33" s="24">
        <f>A2.1.4!E9</f>
        <v>664562</v>
      </c>
      <c r="D33" s="24">
        <f>A2.1.4!H9</f>
        <v>713551</v>
      </c>
      <c r="E33" s="24">
        <f>A2.1.4!K9</f>
        <v>727099</v>
      </c>
      <c r="F33" s="24">
        <f>A2.1.4!N9</f>
        <v>723207</v>
      </c>
      <c r="H33" s="6"/>
    </row>
    <row r="34" spans="2:8" ht="13.35" customHeight="1" x14ac:dyDescent="0.2">
      <c r="B34" s="563" t="s">
        <v>233</v>
      </c>
      <c r="C34" s="24">
        <f>A2.1.4!E10</f>
        <v>269263</v>
      </c>
      <c r="D34" s="24">
        <f>A2.1.4!H10</f>
        <v>286746</v>
      </c>
      <c r="E34" s="24">
        <f>A2.1.4!K10</f>
        <v>295759</v>
      </c>
      <c r="F34" s="24">
        <f>A2.1.4!N10</f>
        <v>288842</v>
      </c>
      <c r="H34" s="6"/>
    </row>
    <row r="35" spans="2:8" ht="13.35" customHeight="1" x14ac:dyDescent="0.2">
      <c r="B35" s="564" t="s">
        <v>232</v>
      </c>
      <c r="C35" s="550">
        <f>A2.1.4!E11</f>
        <v>130826</v>
      </c>
      <c r="D35" s="550">
        <f>A2.1.4!H11</f>
        <v>139188</v>
      </c>
      <c r="E35" s="550">
        <f>A2.1.4!K11</f>
        <v>146323</v>
      </c>
      <c r="F35" s="550">
        <f>A2.1.4!N11</f>
        <v>143701</v>
      </c>
      <c r="H35" s="6"/>
    </row>
    <row r="36" spans="2:8" ht="13.35" customHeight="1" x14ac:dyDescent="0.2">
      <c r="B36" s="565" t="s">
        <v>8</v>
      </c>
      <c r="C36" s="346">
        <f t="shared" ref="C36" si="0">SUM(C28:C35)</f>
        <v>4712709</v>
      </c>
      <c r="D36" s="346">
        <f>SUM(D28:D35)</f>
        <v>5001558</v>
      </c>
      <c r="E36" s="346">
        <f>SUM(E28:E35)</f>
        <v>5199360</v>
      </c>
      <c r="F36" s="346">
        <f>SUM(F28:F35)</f>
        <v>5108207</v>
      </c>
      <c r="H36" s="6"/>
    </row>
    <row r="37" spans="2:8" ht="13.35" customHeight="1" x14ac:dyDescent="0.2">
      <c r="B37" s="566"/>
      <c r="C37" s="531"/>
      <c r="D37" s="531"/>
      <c r="E37" s="531"/>
      <c r="F37" s="531"/>
    </row>
    <row r="38" spans="2:8" ht="13.35" customHeight="1" x14ac:dyDescent="0.2">
      <c r="B38" s="563" t="s">
        <v>97</v>
      </c>
      <c r="C38" s="113">
        <f>A2.1.4!E14</f>
        <v>3.8139422569906183E-3</v>
      </c>
      <c r="D38" s="113">
        <f>A2.1.4!H14</f>
        <v>3.5786848817908339E-3</v>
      </c>
      <c r="E38" s="113">
        <f>A2.1.4!K14</f>
        <v>3.3700301575578535E-3</v>
      </c>
      <c r="F38" s="113">
        <f>A2.1.4!N14</f>
        <v>3.1960333635657288E-3</v>
      </c>
    </row>
    <row r="39" spans="2:8" ht="13.35" customHeight="1" x14ac:dyDescent="0.2">
      <c r="B39" s="563" t="s">
        <v>98</v>
      </c>
      <c r="C39" s="113">
        <f>A2.1.4!E15</f>
        <v>2.4216857013662416E-2</v>
      </c>
      <c r="D39" s="113">
        <f>A2.1.4!H15</f>
        <v>2.3021826398894104E-2</v>
      </c>
      <c r="E39" s="113">
        <f>A2.1.4!K15</f>
        <v>2.487190731166913E-2</v>
      </c>
      <c r="F39" s="113">
        <f>A2.1.4!N15</f>
        <v>2.4029958065520836E-2</v>
      </c>
    </row>
    <row r="40" spans="2:8" ht="13.35" customHeight="1" x14ac:dyDescent="0.2">
      <c r="B40" s="563" t="s">
        <v>99</v>
      </c>
      <c r="C40" s="113">
        <f>A2.1.4!E16</f>
        <v>0.22447747145007255</v>
      </c>
      <c r="D40" s="113">
        <f>A2.1.4!H16</f>
        <v>0.23029883888180444</v>
      </c>
      <c r="E40" s="113">
        <f>A2.1.4!K16</f>
        <v>0.24113506277695718</v>
      </c>
      <c r="F40" s="113">
        <f>A2.1.4!N16</f>
        <v>0.24472853194868571</v>
      </c>
    </row>
    <row r="41" spans="2:8" ht="13.35" customHeight="1" x14ac:dyDescent="0.2">
      <c r="B41" s="563" t="s">
        <v>100</v>
      </c>
      <c r="C41" s="113">
        <f>A2.1.4!E17</f>
        <v>0.28492699209732664</v>
      </c>
      <c r="D41" s="113">
        <f>A2.1.4!H17</f>
        <v>0.28167662956222839</v>
      </c>
      <c r="E41" s="113">
        <f>A2.1.4!K17</f>
        <v>0.27794016955933037</v>
      </c>
      <c r="F41" s="113">
        <f>A2.1.4!N17</f>
        <v>0.27533672774028145</v>
      </c>
    </row>
    <row r="42" spans="2:8" ht="13.35" customHeight="1" x14ac:dyDescent="0.2">
      <c r="B42" s="563" t="s">
        <v>101</v>
      </c>
      <c r="C42" s="113">
        <f>A2.1.4!E18</f>
        <v>0.23665411974301828</v>
      </c>
      <c r="D42" s="113">
        <f>A2.1.4!H18</f>
        <v>0.23359801085981607</v>
      </c>
      <c r="E42" s="113">
        <f>A2.1.4!K18</f>
        <v>0.22781265386509109</v>
      </c>
      <c r="F42" s="113">
        <f>A2.1.4!N18</f>
        <v>0.2264551925949751</v>
      </c>
    </row>
    <row r="43" spans="2:8" ht="13.35" customHeight="1" x14ac:dyDescent="0.2">
      <c r="B43" s="563" t="s">
        <v>102</v>
      </c>
      <c r="C43" s="113">
        <f>A2.1.4!E19</f>
        <v>0.14101486003061084</v>
      </c>
      <c r="D43" s="113">
        <f>A2.1.4!H19</f>
        <v>0.14266574535374776</v>
      </c>
      <c r="E43" s="113">
        <f>A2.1.4!K19</f>
        <v>0.13984394233136385</v>
      </c>
      <c r="F43" s="113">
        <f>A2.1.4!N19</f>
        <v>0.14157746543943892</v>
      </c>
    </row>
    <row r="44" spans="2:8" ht="13.35" customHeight="1" x14ac:dyDescent="0.2">
      <c r="B44" s="563" t="s">
        <v>233</v>
      </c>
      <c r="C44" s="113">
        <f>A2.1.4!E20</f>
        <v>5.7135503168135357E-2</v>
      </c>
      <c r="D44" s="113">
        <f>A2.1.4!H20</f>
        <v>5.7331335555840801E-2</v>
      </c>
      <c r="E44" s="113">
        <f>A2.1.4!K20</f>
        <v>5.6883731843919254E-2</v>
      </c>
      <c r="F44" s="113">
        <f>A2.1.4!N20</f>
        <v>5.6544693666486109E-2</v>
      </c>
    </row>
    <row r="45" spans="2:8" ht="13.35" customHeight="1" x14ac:dyDescent="0.2">
      <c r="B45" s="564" t="s">
        <v>232</v>
      </c>
      <c r="C45" s="568">
        <f>A2.1.4!E21</f>
        <v>2.7760254240183298E-2</v>
      </c>
      <c r="D45" s="568">
        <f>A2.1.4!H21</f>
        <v>2.7828928505877568E-2</v>
      </c>
      <c r="E45" s="568">
        <f>A2.1.4!K21</f>
        <v>2.8142502154111276E-2</v>
      </c>
      <c r="F45" s="568">
        <f>A2.1.4!N21</f>
        <v>2.8131397181046108E-2</v>
      </c>
    </row>
    <row r="46" spans="2:8" ht="13.35" customHeight="1" x14ac:dyDescent="0.2"/>
  </sheetData>
  <phoneticPr fontId="10" type="noConversion"/>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249977111117893"/>
    <pageSetUpPr fitToPage="1"/>
  </sheetPr>
  <dimension ref="B1:U80"/>
  <sheetViews>
    <sheetView showGridLines="0" zoomScaleNormal="100" zoomScaleSheetLayoutView="90" workbookViewId="0"/>
  </sheetViews>
  <sheetFormatPr defaultColWidth="9.140625" defaultRowHeight="12.75" x14ac:dyDescent="0.2"/>
  <cols>
    <col min="1" max="1" width="3.7109375" style="10" customWidth="1"/>
    <col min="2" max="2" width="9.140625" customWidth="1"/>
    <col min="3" max="6" width="9.140625" style="2" customWidth="1"/>
    <col min="7" max="7" width="9.140625" style="13" customWidth="1"/>
    <col min="8" max="8" width="9.140625" style="62" customWidth="1"/>
    <col min="9" max="9" width="9.140625" style="14" customWidth="1"/>
    <col min="10" max="16384" width="9.140625" style="10"/>
  </cols>
  <sheetData>
    <row r="1" spans="2:9" customFormat="1" ht="15" customHeight="1" x14ac:dyDescent="0.2">
      <c r="B1" s="475" t="s">
        <v>544</v>
      </c>
      <c r="C1" s="398"/>
      <c r="D1" s="398"/>
      <c r="E1" s="398"/>
      <c r="F1" s="398"/>
      <c r="G1" s="398"/>
      <c r="H1" s="398"/>
      <c r="I1" s="398"/>
    </row>
    <row r="2" spans="2:9" customFormat="1" ht="13.35" customHeight="1" x14ac:dyDescent="0.2">
      <c r="B2" s="1"/>
      <c r="C2" s="1"/>
      <c r="D2" s="1"/>
      <c r="E2" s="1"/>
      <c r="F2" s="1"/>
      <c r="G2" s="1"/>
      <c r="H2" s="1"/>
      <c r="I2" s="1"/>
    </row>
    <row r="3" spans="2:9" customFormat="1" ht="13.35" customHeight="1" x14ac:dyDescent="0.2">
      <c r="B3" s="1"/>
      <c r="C3" s="1"/>
      <c r="D3" s="1"/>
      <c r="E3" s="1"/>
      <c r="F3" s="1"/>
      <c r="G3" s="1"/>
      <c r="H3" s="1"/>
      <c r="I3" s="1"/>
    </row>
    <row r="4" spans="2:9" customFormat="1" ht="13.35" customHeight="1" x14ac:dyDescent="0.2">
      <c r="B4" s="1"/>
      <c r="C4" s="1"/>
      <c r="D4" s="1"/>
      <c r="E4" s="1"/>
      <c r="F4" s="1"/>
      <c r="G4" s="1"/>
      <c r="H4" s="1"/>
      <c r="I4" s="1"/>
    </row>
    <row r="5" spans="2:9" customFormat="1" ht="13.35" customHeight="1" x14ac:dyDescent="0.2">
      <c r="B5" s="1"/>
      <c r="C5" s="1"/>
      <c r="D5" s="1"/>
      <c r="E5" s="1"/>
      <c r="F5" s="1"/>
      <c r="G5" s="1"/>
      <c r="H5" s="1"/>
      <c r="I5" s="1"/>
    </row>
    <row r="6" spans="2:9" customFormat="1" ht="13.35" customHeight="1" x14ac:dyDescent="0.2">
      <c r="B6" s="1"/>
      <c r="C6" s="1"/>
      <c r="D6" s="1"/>
      <c r="E6" s="1"/>
      <c r="F6" s="1"/>
      <c r="G6" s="1"/>
      <c r="H6" s="1"/>
      <c r="I6" s="1"/>
    </row>
    <row r="7" spans="2:9" customFormat="1" ht="13.35" customHeight="1" x14ac:dyDescent="0.2">
      <c r="B7" s="1"/>
      <c r="C7" s="1"/>
      <c r="D7" s="1"/>
      <c r="E7" s="1"/>
      <c r="F7" s="1"/>
      <c r="G7" s="1"/>
      <c r="H7" s="1"/>
      <c r="I7" s="1"/>
    </row>
    <row r="8" spans="2:9" customFormat="1" ht="13.35" customHeight="1" x14ac:dyDescent="0.2">
      <c r="B8" s="1"/>
      <c r="C8" s="1"/>
      <c r="D8" s="1"/>
      <c r="E8" s="1"/>
      <c r="F8" s="1"/>
      <c r="G8" s="1"/>
      <c r="H8" s="1"/>
      <c r="I8" s="1"/>
    </row>
    <row r="9" spans="2:9" customFormat="1" ht="13.35" customHeight="1" x14ac:dyDescent="0.2">
      <c r="B9" s="1"/>
      <c r="C9" s="1"/>
      <c r="D9" s="1"/>
      <c r="E9" s="1"/>
      <c r="F9" s="1"/>
      <c r="G9" s="1"/>
      <c r="H9" s="1"/>
      <c r="I9" s="1"/>
    </row>
    <row r="10" spans="2:9" s="1" customFormat="1" ht="13.35" customHeight="1" x14ac:dyDescent="0.2"/>
    <row r="11" spans="2:9" s="1" customFormat="1" ht="13.35" customHeight="1" x14ac:dyDescent="0.2"/>
    <row r="12" spans="2:9" s="1" customFormat="1" ht="13.35" customHeight="1" x14ac:dyDescent="0.2"/>
    <row r="13" spans="2:9" s="1" customFormat="1" ht="13.35" customHeight="1" x14ac:dyDescent="0.2"/>
    <row r="14" spans="2:9" s="1" customFormat="1" ht="13.35" customHeight="1" x14ac:dyDescent="0.2"/>
    <row r="15" spans="2:9" customFormat="1" ht="13.35" customHeight="1" x14ac:dyDescent="0.2">
      <c r="B15" s="1"/>
      <c r="C15" s="1"/>
      <c r="D15" s="1"/>
      <c r="E15" s="1"/>
      <c r="F15" s="1"/>
      <c r="G15" s="1"/>
      <c r="H15" s="1"/>
      <c r="I15" s="1"/>
    </row>
    <row r="16" spans="2:9" customFormat="1" ht="13.35" customHeight="1" x14ac:dyDescent="0.2">
      <c r="B16" s="1"/>
      <c r="C16" s="1"/>
      <c r="D16" s="1"/>
      <c r="E16" s="1"/>
      <c r="F16" s="1"/>
      <c r="G16" s="1"/>
      <c r="H16" s="1"/>
      <c r="I16" s="1"/>
    </row>
    <row r="17" spans="2:21" customFormat="1" ht="13.35" customHeight="1" x14ac:dyDescent="0.2">
      <c r="B17" s="1"/>
      <c r="C17" s="1"/>
      <c r="D17" s="1"/>
      <c r="E17" s="1"/>
      <c r="F17" s="1"/>
      <c r="G17" s="1"/>
      <c r="H17" s="1"/>
      <c r="I17" s="1"/>
    </row>
    <row r="18" spans="2:21" customFormat="1" ht="13.35" customHeight="1" x14ac:dyDescent="0.2">
      <c r="B18" s="1"/>
      <c r="C18" s="1"/>
      <c r="D18" s="1"/>
      <c r="E18" s="1"/>
      <c r="F18" s="1"/>
      <c r="G18" s="1"/>
      <c r="H18" s="1"/>
      <c r="I18" s="1"/>
    </row>
    <row r="19" spans="2:21" customFormat="1" ht="13.35" customHeight="1" x14ac:dyDescent="0.2">
      <c r="B19" s="1"/>
      <c r="C19" s="1"/>
      <c r="D19" s="1"/>
      <c r="E19" s="1"/>
      <c r="F19" s="1"/>
      <c r="G19" s="1"/>
      <c r="H19" s="1"/>
      <c r="I19" s="1"/>
    </row>
    <row r="20" spans="2:21" customFormat="1" ht="13.35" customHeight="1" x14ac:dyDescent="0.2">
      <c r="B20" s="1"/>
      <c r="C20" s="1"/>
      <c r="D20" s="1"/>
      <c r="E20" s="1"/>
      <c r="F20" s="1"/>
      <c r="G20" s="1"/>
      <c r="H20" s="1"/>
      <c r="I20" s="1"/>
    </row>
    <row r="21" spans="2:21" customFormat="1" ht="13.35" customHeight="1" x14ac:dyDescent="0.2">
      <c r="B21" s="1"/>
      <c r="C21" s="1"/>
      <c r="D21" s="1"/>
      <c r="E21" s="1"/>
      <c r="F21" s="1"/>
      <c r="G21" s="1"/>
      <c r="H21" s="1"/>
      <c r="I21" s="1"/>
    </row>
    <row r="22" spans="2:21" customFormat="1" ht="13.35" customHeight="1" x14ac:dyDescent="0.2">
      <c r="B22" s="100"/>
      <c r="C22" s="1"/>
      <c r="D22" s="1"/>
      <c r="E22" s="1"/>
      <c r="F22" s="1"/>
      <c r="G22" s="1"/>
      <c r="H22" s="1"/>
      <c r="I22" s="1"/>
    </row>
    <row r="23" spans="2:21" customFormat="1" ht="13.35" customHeight="1" x14ac:dyDescent="0.2">
      <c r="E23" s="352" t="s">
        <v>371</v>
      </c>
      <c r="F23" s="2"/>
      <c r="H23" s="1"/>
    </row>
    <row r="24" spans="2:21" customFormat="1" ht="13.35" customHeight="1" x14ac:dyDescent="0.2">
      <c r="H24" s="1"/>
    </row>
    <row r="25" spans="2:21" customFormat="1" ht="13.35" customHeight="1" x14ac:dyDescent="0.2">
      <c r="H25" s="1"/>
    </row>
    <row r="26" spans="2:21" customFormat="1" ht="13.35" customHeight="1" x14ac:dyDescent="0.2">
      <c r="B26" s="661" t="s">
        <v>279</v>
      </c>
      <c r="C26" s="662"/>
      <c r="D26" s="662"/>
      <c r="E26" s="662"/>
      <c r="F26" s="662"/>
      <c r="G26" s="662"/>
      <c r="H26" s="663"/>
      <c r="K26" s="10"/>
      <c r="L26" s="10"/>
      <c r="M26" s="10"/>
      <c r="N26" s="10"/>
      <c r="O26" s="10"/>
      <c r="P26" s="10"/>
      <c r="Q26" s="10"/>
      <c r="R26" s="10"/>
      <c r="S26" s="10"/>
      <c r="T26" s="10"/>
      <c r="U26" s="10"/>
    </row>
    <row r="27" spans="2:21" s="6" customFormat="1" ht="13.35" customHeight="1" x14ac:dyDescent="0.2">
      <c r="B27" s="144" t="s">
        <v>168</v>
      </c>
      <c r="C27" s="671"/>
      <c r="D27" s="1027" t="str">
        <f>A2.1.6!N34</f>
        <v>2012 [86.9% assessed]</v>
      </c>
      <c r="E27" s="1025"/>
      <c r="F27" s="1026"/>
      <c r="G27" s="572"/>
      <c r="H27" s="573"/>
    </row>
    <row r="28" spans="2:21" s="6" customFormat="1" ht="13.35" customHeight="1" x14ac:dyDescent="0.2">
      <c r="B28" s="660" t="s">
        <v>90</v>
      </c>
      <c r="C28" s="672"/>
      <c r="D28" s="673" t="s">
        <v>200</v>
      </c>
      <c r="E28" s="343" t="s">
        <v>199</v>
      </c>
      <c r="F28" s="344" t="s">
        <v>8</v>
      </c>
      <c r="G28" s="343" t="s">
        <v>410</v>
      </c>
      <c r="H28" s="344" t="s">
        <v>411</v>
      </c>
    </row>
    <row r="29" spans="2:21" s="6" customFormat="1" ht="13.35" customHeight="1" x14ac:dyDescent="0.2">
      <c r="B29" s="667"/>
      <c r="C29" s="664" t="s">
        <v>234</v>
      </c>
      <c r="D29" s="674">
        <f>'Fig 2.5'!D45+'Fig 2.5'!D46</f>
        <v>87757</v>
      </c>
      <c r="E29" s="666">
        <f>'Fig 2.5'!E45+'Fig 2.5'!E46</f>
        <v>124360</v>
      </c>
      <c r="F29" s="675">
        <f>'Fig 2.5'!F45+'Fig 2.5'!F46</f>
        <v>212117</v>
      </c>
      <c r="G29" s="665">
        <f t="shared" ref="G29:G38" si="0">D29/$F29</f>
        <v>0.41371978672147919</v>
      </c>
      <c r="H29" s="668">
        <f t="shared" ref="H29:H38" si="1">E29/$F29</f>
        <v>0.58628021327852087</v>
      </c>
    </row>
    <row r="30" spans="2:21" s="6" customFormat="1" ht="13.35" customHeight="1" x14ac:dyDescent="0.2">
      <c r="B30" s="667"/>
      <c r="C30" s="664" t="s">
        <v>235</v>
      </c>
      <c r="D30" s="674">
        <f>SUM('Fig 2.5'!D47:D51)</f>
        <v>329637</v>
      </c>
      <c r="E30" s="666">
        <f>SUM('Fig 2.5'!E47:E51)</f>
        <v>392604</v>
      </c>
      <c r="F30" s="675">
        <f>SUM('Fig 2.5'!F47:F51)</f>
        <v>722241</v>
      </c>
      <c r="G30" s="665">
        <f t="shared" si="0"/>
        <v>0.45640859491499375</v>
      </c>
      <c r="H30" s="668">
        <f t="shared" si="1"/>
        <v>0.54359140508500625</v>
      </c>
    </row>
    <row r="31" spans="2:21" s="6" customFormat="1" ht="13.35" customHeight="1" x14ac:dyDescent="0.2">
      <c r="B31" s="667"/>
      <c r="C31" s="664" t="s">
        <v>236</v>
      </c>
      <c r="D31" s="674">
        <f>SUM('Fig 2.5'!D52:D57)</f>
        <v>577608</v>
      </c>
      <c r="E31" s="666">
        <f>SUM('Fig 2.5'!E52:E57)</f>
        <v>667479</v>
      </c>
      <c r="F31" s="675">
        <f>SUM('Fig 2.5'!F52:F57)</f>
        <v>1245087</v>
      </c>
      <c r="G31" s="665">
        <f t="shared" si="0"/>
        <v>0.4639097508848779</v>
      </c>
      <c r="H31" s="668">
        <f t="shared" si="1"/>
        <v>0.53609024911512204</v>
      </c>
    </row>
    <row r="32" spans="2:21" customFormat="1" ht="13.35" customHeight="1" x14ac:dyDescent="0.2">
      <c r="B32" s="667"/>
      <c r="C32" s="664" t="s">
        <v>435</v>
      </c>
      <c r="D32" s="674">
        <f>SUM('Fig 2.5'!D58:D61)</f>
        <v>618889</v>
      </c>
      <c r="E32" s="666">
        <f>SUM('Fig 2.5'!E58:E61)</f>
        <v>649625</v>
      </c>
      <c r="F32" s="675">
        <f>SUM('Fig 2.5'!F58:F61)</f>
        <v>1268514</v>
      </c>
      <c r="G32" s="665">
        <f t="shared" si="0"/>
        <v>0.48788503713794251</v>
      </c>
      <c r="H32" s="668">
        <f t="shared" si="1"/>
        <v>0.51211496286205749</v>
      </c>
      <c r="I32" s="6"/>
      <c r="K32" s="10"/>
      <c r="L32" s="10"/>
      <c r="M32" s="10"/>
      <c r="N32" s="10"/>
      <c r="O32" s="10"/>
      <c r="P32" s="10"/>
      <c r="Q32" s="10"/>
      <c r="R32" s="10"/>
      <c r="S32" s="10"/>
      <c r="T32" s="10"/>
      <c r="U32" s="10"/>
    </row>
    <row r="33" spans="2:21" customFormat="1" ht="13.35" customHeight="1" x14ac:dyDescent="0.2">
      <c r="B33" s="667"/>
      <c r="C33" s="664" t="s">
        <v>436</v>
      </c>
      <c r="D33" s="674">
        <f>SUM('Fig 2.5'!D62:D64)</f>
        <v>534855</v>
      </c>
      <c r="E33" s="666">
        <f>SUM('Fig 2.5'!E62:E64)</f>
        <v>786669</v>
      </c>
      <c r="F33" s="675">
        <f>SUM('Fig 2.5'!F62:F64)</f>
        <v>1321524</v>
      </c>
      <c r="G33" s="665">
        <f t="shared" si="0"/>
        <v>0.40472590736150083</v>
      </c>
      <c r="H33" s="668">
        <f t="shared" si="1"/>
        <v>0.59527409263849917</v>
      </c>
      <c r="I33" s="6"/>
      <c r="K33" s="10"/>
      <c r="L33" s="10"/>
      <c r="M33" s="10"/>
      <c r="N33" s="10"/>
      <c r="O33" s="10"/>
      <c r="P33" s="10"/>
      <c r="Q33" s="10"/>
      <c r="R33" s="10"/>
      <c r="S33" s="10"/>
      <c r="T33" s="10"/>
      <c r="U33" s="10"/>
    </row>
    <row r="34" spans="2:21" customFormat="1" ht="13.35" customHeight="1" x14ac:dyDescent="0.2">
      <c r="B34" s="667"/>
      <c r="C34" s="664" t="s">
        <v>62</v>
      </c>
      <c r="D34" s="674">
        <f>'Fig 2.5'!D65</f>
        <v>51849</v>
      </c>
      <c r="E34" s="666">
        <f>'Fig 2.5'!E65</f>
        <v>143725</v>
      </c>
      <c r="F34" s="675">
        <f>'Fig 2.5'!F65</f>
        <v>195574</v>
      </c>
      <c r="G34" s="665">
        <f t="shared" si="0"/>
        <v>0.26511192694325419</v>
      </c>
      <c r="H34" s="668">
        <f t="shared" si="1"/>
        <v>0.73488807305674575</v>
      </c>
      <c r="I34" s="6"/>
      <c r="K34" s="10"/>
      <c r="L34" s="10"/>
      <c r="M34" s="10"/>
      <c r="N34" s="10"/>
      <c r="O34" s="10"/>
      <c r="P34" s="10"/>
      <c r="Q34" s="10"/>
      <c r="R34" s="10"/>
      <c r="S34" s="10"/>
      <c r="T34" s="10"/>
      <c r="U34" s="10"/>
    </row>
    <row r="35" spans="2:21" customFormat="1" ht="13.35" customHeight="1" x14ac:dyDescent="0.2">
      <c r="B35" s="667"/>
      <c r="C35" s="664" t="s">
        <v>63</v>
      </c>
      <c r="D35" s="674">
        <f>'Fig 2.5'!D66</f>
        <v>14569</v>
      </c>
      <c r="E35" s="666">
        <f>'Fig 2.5'!E66</f>
        <v>53210</v>
      </c>
      <c r="F35" s="675">
        <f>'Fig 2.5'!F66</f>
        <v>67779</v>
      </c>
      <c r="G35" s="665">
        <f t="shared" si="0"/>
        <v>0.21494858289440683</v>
      </c>
      <c r="H35" s="668">
        <f t="shared" si="1"/>
        <v>0.78505141710559323</v>
      </c>
      <c r="I35" s="6"/>
      <c r="K35" s="10"/>
      <c r="L35" s="10"/>
      <c r="M35" s="10"/>
      <c r="N35" s="10"/>
      <c r="O35" s="10"/>
      <c r="P35" s="10"/>
      <c r="Q35" s="10"/>
      <c r="R35" s="10"/>
      <c r="S35" s="10"/>
      <c r="T35" s="10"/>
      <c r="U35" s="10"/>
    </row>
    <row r="36" spans="2:21" customFormat="1" ht="13.35" customHeight="1" x14ac:dyDescent="0.2">
      <c r="B36" s="667"/>
      <c r="C36" s="664" t="s">
        <v>64</v>
      </c>
      <c r="D36" s="674">
        <f>'Fig 2.5'!D67</f>
        <v>9705</v>
      </c>
      <c r="E36" s="666">
        <f>'Fig 2.5'!E67</f>
        <v>48457</v>
      </c>
      <c r="F36" s="675">
        <f>'Fig 2.5'!F67</f>
        <v>58162</v>
      </c>
      <c r="G36" s="665">
        <f t="shared" si="0"/>
        <v>0.16686152470685328</v>
      </c>
      <c r="H36" s="668">
        <f t="shared" si="1"/>
        <v>0.83313847529314677</v>
      </c>
      <c r="I36" s="6"/>
      <c r="K36" s="10"/>
      <c r="L36" s="10"/>
      <c r="M36" s="10"/>
      <c r="N36" s="10"/>
      <c r="O36" s="10"/>
      <c r="P36" s="10"/>
      <c r="Q36" s="10"/>
      <c r="R36" s="10"/>
      <c r="S36" s="10"/>
      <c r="T36" s="10"/>
      <c r="U36" s="10"/>
    </row>
    <row r="37" spans="2:21" customFormat="1" ht="13.35" customHeight="1" x14ac:dyDescent="0.2">
      <c r="B37" s="667"/>
      <c r="C37" s="664" t="s">
        <v>65</v>
      </c>
      <c r="D37" s="674">
        <f>'Fig 2.5'!D68</f>
        <v>1606</v>
      </c>
      <c r="E37" s="666">
        <f>'Fig 2.5'!E68</f>
        <v>13064</v>
      </c>
      <c r="F37" s="675">
        <f>'Fig 2.5'!F68</f>
        <v>14670</v>
      </c>
      <c r="G37" s="665">
        <f t="shared" si="0"/>
        <v>0.10947511929107021</v>
      </c>
      <c r="H37" s="668">
        <f t="shared" si="1"/>
        <v>0.89052488070892977</v>
      </c>
      <c r="I37" s="6"/>
      <c r="K37" s="10"/>
      <c r="L37" s="10"/>
      <c r="M37" s="10"/>
      <c r="N37" s="10"/>
      <c r="O37" s="10"/>
      <c r="P37" s="10"/>
      <c r="Q37" s="10"/>
      <c r="R37" s="10"/>
      <c r="S37" s="10"/>
      <c r="T37" s="10"/>
      <c r="U37" s="10"/>
    </row>
    <row r="38" spans="2:21" customFormat="1" ht="13.35" customHeight="1" x14ac:dyDescent="0.2">
      <c r="B38" s="667"/>
      <c r="C38" s="664" t="s">
        <v>66</v>
      </c>
      <c r="D38" s="674">
        <f>'Fig 2.5'!D69</f>
        <v>218</v>
      </c>
      <c r="E38" s="666">
        <f>'Fig 2.5'!E69</f>
        <v>2321</v>
      </c>
      <c r="F38" s="675">
        <f>'Fig 2.5'!F69</f>
        <v>2539</v>
      </c>
      <c r="G38" s="665">
        <f t="shared" si="0"/>
        <v>8.5860575029539185E-2</v>
      </c>
      <c r="H38" s="668">
        <f t="shared" si="1"/>
        <v>0.91413942497046086</v>
      </c>
      <c r="I38" s="6"/>
      <c r="K38" s="10"/>
      <c r="L38" s="10"/>
      <c r="M38" s="10"/>
      <c r="N38" s="10"/>
      <c r="O38" s="10"/>
      <c r="P38" s="10"/>
      <c r="Q38" s="10"/>
      <c r="R38" s="10"/>
      <c r="S38" s="10"/>
      <c r="T38" s="10"/>
      <c r="U38" s="10"/>
    </row>
    <row r="39" spans="2:21" customFormat="1" ht="13.35" customHeight="1" x14ac:dyDescent="0.2">
      <c r="B39" s="667"/>
      <c r="C39" s="664"/>
      <c r="D39" s="674"/>
      <c r="E39" s="666"/>
      <c r="F39" s="675"/>
      <c r="G39" s="665"/>
      <c r="H39" s="668"/>
      <c r="I39" s="6"/>
      <c r="K39" s="10"/>
      <c r="L39" s="10"/>
      <c r="M39" s="10"/>
      <c r="N39" s="10"/>
      <c r="O39" s="10"/>
      <c r="P39" s="10"/>
      <c r="Q39" s="10"/>
      <c r="R39" s="10"/>
      <c r="S39" s="10"/>
      <c r="T39" s="10"/>
      <c r="U39" s="10"/>
    </row>
    <row r="40" spans="2:21" customFormat="1" ht="13.35" customHeight="1" x14ac:dyDescent="0.2">
      <c r="B40" s="224"/>
      <c r="C40" s="669" t="s">
        <v>8</v>
      </c>
      <c r="D40" s="676">
        <f>SUM(D29:D38)</f>
        <v>2226693</v>
      </c>
      <c r="E40" s="670">
        <f>SUM(E29:E38)</f>
        <v>2881514</v>
      </c>
      <c r="F40" s="677">
        <f>SUM(F29:F38)</f>
        <v>5108207</v>
      </c>
      <c r="G40" s="678">
        <f>D40/$F40</f>
        <v>0.43590500541579463</v>
      </c>
      <c r="H40" s="679">
        <f>E40/$F40</f>
        <v>0.56409499458420542</v>
      </c>
      <c r="I40" s="6"/>
      <c r="K40" s="10"/>
      <c r="L40" s="10"/>
      <c r="M40" s="10"/>
      <c r="N40" s="10"/>
      <c r="O40" s="10"/>
      <c r="P40" s="10"/>
      <c r="Q40" s="10"/>
      <c r="R40" s="10"/>
      <c r="S40" s="10"/>
      <c r="T40" s="10"/>
      <c r="U40" s="10"/>
    </row>
    <row r="41" spans="2:21" customFormat="1" ht="13.35" customHeight="1" x14ac:dyDescent="0.2">
      <c r="C41" s="2"/>
      <c r="D41" s="2"/>
      <c r="E41" s="2"/>
      <c r="F41" s="2"/>
      <c r="G41" s="13"/>
      <c r="H41" s="62"/>
      <c r="I41" s="6"/>
      <c r="K41" s="10"/>
      <c r="L41" s="10"/>
      <c r="M41" s="10"/>
      <c r="N41" s="10"/>
      <c r="O41" s="10"/>
      <c r="P41" s="10"/>
      <c r="Q41" s="10"/>
      <c r="R41" s="10"/>
      <c r="S41" s="10"/>
      <c r="T41" s="10"/>
      <c r="U41" s="10"/>
    </row>
    <row r="42" spans="2:21" customFormat="1" ht="13.35" customHeight="1" x14ac:dyDescent="0.2">
      <c r="B42" s="224" t="s">
        <v>279</v>
      </c>
      <c r="C42" s="225"/>
      <c r="D42" s="225"/>
      <c r="E42" s="225"/>
      <c r="F42" s="225"/>
      <c r="G42" s="225"/>
      <c r="H42" s="226"/>
      <c r="M42" s="10"/>
      <c r="N42" s="10"/>
      <c r="O42" s="10"/>
      <c r="P42" s="10"/>
      <c r="Q42" s="10"/>
      <c r="R42" s="10"/>
      <c r="S42" s="10"/>
      <c r="T42" s="10"/>
      <c r="U42" s="10"/>
    </row>
    <row r="43" spans="2:21" customFormat="1" ht="13.35" customHeight="1" x14ac:dyDescent="0.2">
      <c r="B43" s="144" t="s">
        <v>168</v>
      </c>
      <c r="C43" s="77"/>
      <c r="D43" s="1024" t="str">
        <f>A2.1.6!N34</f>
        <v>2012 [86.9% assessed]</v>
      </c>
      <c r="E43" s="1025"/>
      <c r="F43" s="1026"/>
      <c r="G43" s="572"/>
      <c r="H43" s="573"/>
      <c r="I43" s="6"/>
      <c r="J43" s="6"/>
      <c r="K43" s="6"/>
      <c r="L43" s="6"/>
      <c r="M43" s="10"/>
      <c r="N43" s="10"/>
      <c r="O43" s="10"/>
      <c r="P43" s="10"/>
      <c r="Q43" s="10"/>
      <c r="R43" s="10"/>
      <c r="S43" s="10"/>
      <c r="T43" s="10"/>
      <c r="U43" s="10"/>
    </row>
    <row r="44" spans="2:21" customFormat="1" ht="13.35" customHeight="1" x14ac:dyDescent="0.2">
      <c r="B44" s="508" t="s">
        <v>90</v>
      </c>
      <c r="C44" s="509"/>
      <c r="D44" s="32" t="str">
        <f>A2.1.6!K35</f>
        <v>Females</v>
      </c>
      <c r="E44" s="33" t="str">
        <f>A2.1.6!L35</f>
        <v>Males</v>
      </c>
      <c r="F44" s="74" t="str">
        <f>A2.1.6!M35</f>
        <v>Total</v>
      </c>
      <c r="G44" s="33" t="s">
        <v>410</v>
      </c>
      <c r="H44" s="74" t="s">
        <v>411</v>
      </c>
      <c r="I44" s="6"/>
      <c r="J44" s="6"/>
      <c r="K44" s="6"/>
      <c r="L44" s="6"/>
      <c r="M44" s="10"/>
      <c r="N44" s="10"/>
      <c r="O44" s="10"/>
      <c r="P44" s="10"/>
      <c r="Q44" s="10"/>
      <c r="R44" s="10"/>
      <c r="S44" s="10"/>
      <c r="T44" s="10"/>
      <c r="U44" s="10"/>
    </row>
    <row r="45" spans="2:21" customFormat="1" ht="13.35" customHeight="1" x14ac:dyDescent="0.2">
      <c r="B45" s="145" t="s">
        <v>18</v>
      </c>
      <c r="C45" s="16" t="s">
        <v>43</v>
      </c>
      <c r="D45" s="19">
        <f>A2.1.6!N36</f>
        <v>26567</v>
      </c>
      <c r="E45" s="15">
        <f>A2.1.6!O36</f>
        <v>48444</v>
      </c>
      <c r="F45" s="24">
        <f>A2.1.6!P36</f>
        <v>75011</v>
      </c>
      <c r="G45" s="23">
        <f t="shared" ref="G45:G70" si="2">D45/$F$70</f>
        <v>5.2008464026614427E-3</v>
      </c>
      <c r="H45" s="113">
        <f t="shared" ref="H45:H70" si="3">-E45/$F$70</f>
        <v>-9.4835624319844509E-3</v>
      </c>
      <c r="I45" s="6"/>
      <c r="J45" s="6"/>
      <c r="K45" s="6"/>
      <c r="L45" s="6"/>
      <c r="M45" s="10"/>
      <c r="N45" s="10"/>
      <c r="O45" s="10"/>
      <c r="P45" s="10"/>
      <c r="Q45" s="10"/>
      <c r="R45" s="10"/>
      <c r="S45" s="10"/>
      <c r="T45" s="10"/>
      <c r="U45" s="10"/>
    </row>
    <row r="46" spans="2:21" customFormat="1" ht="13.35" customHeight="1" x14ac:dyDescent="0.2">
      <c r="B46" s="145" t="s">
        <v>19</v>
      </c>
      <c r="C46" s="49" t="s">
        <v>129</v>
      </c>
      <c r="D46" s="19">
        <f>A2.1.6!N37</f>
        <v>61190</v>
      </c>
      <c r="E46" s="15">
        <f>A2.1.6!O37</f>
        <v>75916</v>
      </c>
      <c r="F46" s="24">
        <f>A2.1.6!P37</f>
        <v>137106</v>
      </c>
      <c r="G46" s="23">
        <f t="shared" si="2"/>
        <v>1.1978762802682038E-2</v>
      </c>
      <c r="H46" s="113">
        <f t="shared" si="3"/>
        <v>-1.4861574716921221E-2</v>
      </c>
      <c r="I46" s="6"/>
      <c r="J46" s="6"/>
      <c r="K46" s="6"/>
      <c r="L46" s="6"/>
      <c r="M46" s="10"/>
      <c r="N46" s="10"/>
      <c r="O46" s="10"/>
      <c r="P46" s="10"/>
      <c r="Q46" s="10"/>
      <c r="R46" s="10"/>
      <c r="S46" s="10"/>
      <c r="T46" s="10"/>
      <c r="U46" s="10"/>
    </row>
    <row r="47" spans="2:21" customFormat="1" ht="13.35" customHeight="1" x14ac:dyDescent="0.2">
      <c r="B47" s="145" t="s">
        <v>20</v>
      </c>
      <c r="C47" s="16" t="s">
        <v>44</v>
      </c>
      <c r="D47" s="19">
        <f>A2.1.6!N38</f>
        <v>99108</v>
      </c>
      <c r="E47" s="15">
        <f>A2.1.6!O38</f>
        <v>100461</v>
      </c>
      <c r="F47" s="24">
        <f>A2.1.6!P38</f>
        <v>199569</v>
      </c>
      <c r="G47" s="23">
        <f t="shared" si="2"/>
        <v>1.9401719624909483E-2</v>
      </c>
      <c r="H47" s="113">
        <f t="shared" si="3"/>
        <v>-1.9666587512996242E-2</v>
      </c>
      <c r="I47" s="6"/>
      <c r="J47" s="6"/>
      <c r="K47" s="6"/>
      <c r="L47" s="6"/>
      <c r="M47" s="10"/>
      <c r="N47" s="10"/>
      <c r="O47" s="10"/>
      <c r="P47" s="10"/>
      <c r="Q47" s="10"/>
      <c r="R47" s="10"/>
      <c r="S47" s="10"/>
      <c r="T47" s="10"/>
      <c r="U47" s="10"/>
    </row>
    <row r="48" spans="2:21" customFormat="1" ht="13.35" customHeight="1" x14ac:dyDescent="0.2">
      <c r="B48" s="145" t="s">
        <v>21</v>
      </c>
      <c r="C48" s="16" t="s">
        <v>45</v>
      </c>
      <c r="D48" s="19">
        <f>A2.1.6!N39</f>
        <v>45375</v>
      </c>
      <c r="E48" s="15">
        <f>A2.1.6!O39</f>
        <v>54263</v>
      </c>
      <c r="F48" s="24">
        <f>A2.1.6!P39</f>
        <v>99638</v>
      </c>
      <c r="G48" s="23">
        <f t="shared" si="2"/>
        <v>8.8827645394949743E-3</v>
      </c>
      <c r="H48" s="113">
        <f t="shared" si="3"/>
        <v>-1.0622709690503928E-2</v>
      </c>
      <c r="M48" s="10"/>
      <c r="N48" s="10"/>
      <c r="O48" s="10"/>
      <c r="P48" s="10"/>
      <c r="Q48" s="10"/>
      <c r="R48" s="10"/>
      <c r="S48" s="10"/>
      <c r="T48" s="10"/>
      <c r="U48" s="10"/>
    </row>
    <row r="49" spans="2:21" customFormat="1" ht="13.35" customHeight="1" x14ac:dyDescent="0.2">
      <c r="B49" s="145" t="s">
        <v>22</v>
      </c>
      <c r="C49" s="16" t="s">
        <v>46</v>
      </c>
      <c r="D49" s="19">
        <f>A2.1.6!N40</f>
        <v>50095</v>
      </c>
      <c r="E49" s="15">
        <f>A2.1.6!O40</f>
        <v>62746</v>
      </c>
      <c r="F49" s="24">
        <f>A2.1.6!P40</f>
        <v>112841</v>
      </c>
      <c r="G49" s="23">
        <f t="shared" si="2"/>
        <v>9.8067678150082806E-3</v>
      </c>
      <c r="H49" s="113">
        <f t="shared" si="3"/>
        <v>-1.2283370662152102E-2</v>
      </c>
      <c r="M49" s="10"/>
      <c r="N49" s="10"/>
      <c r="O49" s="10"/>
      <c r="P49" s="10"/>
      <c r="Q49" s="10"/>
      <c r="R49" s="10"/>
      <c r="S49" s="10"/>
      <c r="T49" s="10"/>
      <c r="U49" s="10"/>
    </row>
    <row r="50" spans="2:21" customFormat="1" ht="13.35" customHeight="1" x14ac:dyDescent="0.2">
      <c r="B50" s="145" t="s">
        <v>23</v>
      </c>
      <c r="C50" s="16" t="s">
        <v>47</v>
      </c>
      <c r="D50" s="19">
        <f>A2.1.6!N41</f>
        <v>56470</v>
      </c>
      <c r="E50" s="15">
        <f>A2.1.6!O41</f>
        <v>75953</v>
      </c>
      <c r="F50" s="24">
        <f>A2.1.6!P41</f>
        <v>132423</v>
      </c>
      <c r="G50" s="23">
        <f t="shared" si="2"/>
        <v>1.1054759527168731E-2</v>
      </c>
      <c r="H50" s="113">
        <f t="shared" si="3"/>
        <v>-1.4868817962936898E-2</v>
      </c>
      <c r="M50" s="10"/>
      <c r="N50" s="10"/>
      <c r="O50" s="10"/>
      <c r="P50" s="10"/>
      <c r="Q50" s="10"/>
      <c r="R50" s="10"/>
      <c r="S50" s="10"/>
      <c r="T50" s="10"/>
      <c r="U50" s="10"/>
    </row>
    <row r="51" spans="2:21" customFormat="1" ht="13.35" customHeight="1" x14ac:dyDescent="0.2">
      <c r="B51" s="145" t="s">
        <v>24</v>
      </c>
      <c r="C51" s="16" t="s">
        <v>48</v>
      </c>
      <c r="D51" s="19">
        <f>A2.1.6!N42</f>
        <v>78589</v>
      </c>
      <c r="E51" s="15">
        <f>A2.1.6!O42</f>
        <v>99181</v>
      </c>
      <c r="F51" s="24">
        <f>A2.1.6!P42</f>
        <v>177770</v>
      </c>
      <c r="G51" s="23">
        <f t="shared" si="2"/>
        <v>1.538485030070238E-2</v>
      </c>
      <c r="H51" s="113">
        <f t="shared" si="3"/>
        <v>-1.9416010353535008E-2</v>
      </c>
      <c r="M51" s="10"/>
      <c r="N51" s="10"/>
      <c r="O51" s="10"/>
      <c r="P51" s="10"/>
      <c r="Q51" s="10"/>
      <c r="R51" s="10"/>
      <c r="S51" s="10"/>
      <c r="T51" s="10"/>
      <c r="U51" s="10"/>
    </row>
    <row r="52" spans="2:21" customFormat="1" ht="13.35" customHeight="1" x14ac:dyDescent="0.2">
      <c r="B52" s="145" t="s">
        <v>25</v>
      </c>
      <c r="C52" s="16" t="s">
        <v>49</v>
      </c>
      <c r="D52" s="19">
        <f>A2.1.6!N43</f>
        <v>83796</v>
      </c>
      <c r="E52" s="15">
        <f>A2.1.6!O43</f>
        <v>107697</v>
      </c>
      <c r="F52" s="24">
        <f>A2.1.6!P43</f>
        <v>191493</v>
      </c>
      <c r="G52" s="23">
        <f t="shared" si="2"/>
        <v>1.6404190354854454E-2</v>
      </c>
      <c r="H52" s="113">
        <f t="shared" si="3"/>
        <v>-2.1083131517575539E-2</v>
      </c>
      <c r="M52" s="10"/>
      <c r="N52" s="10"/>
      <c r="O52" s="10"/>
      <c r="P52" s="10"/>
      <c r="Q52" s="10"/>
      <c r="R52" s="10"/>
      <c r="S52" s="10"/>
      <c r="T52" s="10"/>
      <c r="U52" s="10"/>
    </row>
    <row r="53" spans="2:21" customFormat="1" ht="13.35" customHeight="1" x14ac:dyDescent="0.2">
      <c r="B53" s="145" t="s">
        <v>26</v>
      </c>
      <c r="C53" s="16" t="s">
        <v>50</v>
      </c>
      <c r="D53" s="19">
        <f>A2.1.6!N44</f>
        <v>102348</v>
      </c>
      <c r="E53" s="15">
        <f>A2.1.6!O44</f>
        <v>118926</v>
      </c>
      <c r="F53" s="24">
        <f>A2.1.6!P44</f>
        <v>221274</v>
      </c>
      <c r="G53" s="23">
        <f t="shared" si="2"/>
        <v>2.0035993059795736E-2</v>
      </c>
      <c r="H53" s="113">
        <f t="shared" si="3"/>
        <v>-2.3281358801630396E-2</v>
      </c>
      <c r="M53" s="10"/>
      <c r="N53" s="10"/>
      <c r="O53" s="10"/>
      <c r="P53" s="10"/>
      <c r="Q53" s="10"/>
      <c r="R53" s="10"/>
      <c r="S53" s="10"/>
      <c r="T53" s="10"/>
      <c r="U53" s="10"/>
    </row>
    <row r="54" spans="2:21" customFormat="1" ht="13.35" customHeight="1" x14ac:dyDescent="0.2">
      <c r="B54" s="48" t="s">
        <v>27</v>
      </c>
      <c r="C54" s="27" t="s">
        <v>51</v>
      </c>
      <c r="D54" s="19">
        <f>A2.1.6!N45</f>
        <v>111098</v>
      </c>
      <c r="E54" s="15">
        <f>A2.1.6!O45</f>
        <v>125789</v>
      </c>
      <c r="F54" s="24">
        <f>A2.1.6!P45</f>
        <v>236887</v>
      </c>
      <c r="G54" s="23">
        <f t="shared" si="2"/>
        <v>2.1748922860800275E-2</v>
      </c>
      <c r="H54" s="113">
        <f t="shared" si="3"/>
        <v>-2.4624883055835444E-2</v>
      </c>
      <c r="M54" s="10"/>
      <c r="N54" s="10"/>
      <c r="O54" s="10"/>
      <c r="P54" s="10"/>
      <c r="Q54" s="10"/>
      <c r="R54" s="10"/>
      <c r="S54" s="10"/>
      <c r="T54" s="10"/>
      <c r="U54" s="10"/>
    </row>
    <row r="55" spans="2:21" customFormat="1" ht="13.35" customHeight="1" x14ac:dyDescent="0.2">
      <c r="B55" s="48" t="s">
        <v>28</v>
      </c>
      <c r="C55" s="27" t="s">
        <v>52</v>
      </c>
      <c r="D55" s="19">
        <f>A2.1.6!N46</f>
        <v>101367</v>
      </c>
      <c r="E55" s="15">
        <f>A2.1.6!O46</f>
        <v>115484</v>
      </c>
      <c r="F55" s="24">
        <f>A2.1.6!P46</f>
        <v>216851</v>
      </c>
      <c r="G55" s="23">
        <f t="shared" si="2"/>
        <v>1.9843949158677397E-2</v>
      </c>
      <c r="H55" s="113">
        <f t="shared" si="3"/>
        <v>-2.2607541158766668E-2</v>
      </c>
      <c r="M55" s="10"/>
      <c r="N55" s="10"/>
      <c r="O55" s="10"/>
      <c r="P55" s="10"/>
      <c r="Q55" s="10"/>
      <c r="R55" s="10"/>
      <c r="S55" s="10"/>
      <c r="T55" s="10"/>
      <c r="U55" s="10"/>
    </row>
    <row r="56" spans="2:21" ht="12.75" customHeight="1" x14ac:dyDescent="0.2">
      <c r="B56" s="48" t="s">
        <v>29</v>
      </c>
      <c r="C56" s="27" t="s">
        <v>53</v>
      </c>
      <c r="D56" s="19">
        <f>A2.1.6!N47</f>
        <v>89190</v>
      </c>
      <c r="E56" s="15">
        <f>A2.1.6!O47</f>
        <v>103145</v>
      </c>
      <c r="F56" s="24">
        <f>A2.1.6!P47</f>
        <v>192335</v>
      </c>
      <c r="G56" s="23">
        <f t="shared" si="2"/>
        <v>1.7460138165896567E-2</v>
      </c>
      <c r="H56" s="113">
        <f t="shared" si="3"/>
        <v>-2.0192016494241523E-2</v>
      </c>
      <c r="I56"/>
      <c r="J56"/>
      <c r="K56"/>
      <c r="L56"/>
    </row>
    <row r="57" spans="2:21" x14ac:dyDescent="0.2">
      <c r="B57" s="48" t="s">
        <v>30</v>
      </c>
      <c r="C57" s="27" t="s">
        <v>54</v>
      </c>
      <c r="D57" s="19">
        <f>A2.1.6!N48</f>
        <v>89809</v>
      </c>
      <c r="E57" s="15">
        <f>A2.1.6!O48</f>
        <v>96438</v>
      </c>
      <c r="F57" s="24">
        <f>A2.1.6!P48</f>
        <v>186247</v>
      </c>
      <c r="G57" s="23">
        <f t="shared" si="2"/>
        <v>1.7581315714104772E-2</v>
      </c>
      <c r="H57" s="113">
        <f t="shared" si="3"/>
        <v>-1.8879031331345813E-2</v>
      </c>
      <c r="I57"/>
      <c r="J57"/>
      <c r="K57"/>
      <c r="L57"/>
    </row>
    <row r="58" spans="2:21" ht="13.35" customHeight="1" x14ac:dyDescent="0.2">
      <c r="B58" s="48" t="s">
        <v>31</v>
      </c>
      <c r="C58" s="27" t="s">
        <v>55</v>
      </c>
      <c r="D58" s="19">
        <f>A2.1.6!N49</f>
        <v>83223</v>
      </c>
      <c r="E58" s="15">
        <f>A2.1.6!O49</f>
        <v>95073</v>
      </c>
      <c r="F58" s="24">
        <f>A2.1.6!P49</f>
        <v>178296</v>
      </c>
      <c r="G58" s="23">
        <f t="shared" si="2"/>
        <v>1.6292017923314386E-2</v>
      </c>
      <c r="H58" s="113">
        <f t="shared" si="3"/>
        <v>-1.8611814282389106E-2</v>
      </c>
      <c r="I58"/>
      <c r="J58"/>
      <c r="K58"/>
      <c r="L58"/>
    </row>
    <row r="59" spans="2:21" ht="13.35" customHeight="1" x14ac:dyDescent="0.2">
      <c r="B59" s="48" t="s">
        <v>32</v>
      </c>
      <c r="C59" s="27" t="s">
        <v>56</v>
      </c>
      <c r="D59" s="19">
        <f>A2.1.6!N50</f>
        <v>87891</v>
      </c>
      <c r="E59" s="15">
        <f>A2.1.6!O50</f>
        <v>104534</v>
      </c>
      <c r="F59" s="24">
        <f>A2.1.6!P50</f>
        <v>192425</v>
      </c>
      <c r="G59" s="23">
        <f t="shared" si="2"/>
        <v>1.7205841501724578E-2</v>
      </c>
      <c r="H59" s="113">
        <f t="shared" si="3"/>
        <v>-2.0463931864938129E-2</v>
      </c>
      <c r="I59"/>
      <c r="J59"/>
      <c r="K59"/>
      <c r="L59"/>
    </row>
    <row r="60" spans="2:21" ht="13.35" customHeight="1" x14ac:dyDescent="0.2">
      <c r="B60" s="48" t="s">
        <v>33</v>
      </c>
      <c r="C60" s="27" t="s">
        <v>57</v>
      </c>
      <c r="D60" s="19">
        <f>A2.1.6!N51</f>
        <v>76259</v>
      </c>
      <c r="E60" s="15">
        <f>A2.1.6!O51</f>
        <v>91883</v>
      </c>
      <c r="F60" s="24">
        <f>A2.1.6!P51</f>
        <v>168142</v>
      </c>
      <c r="G60" s="23">
        <f t="shared" si="2"/>
        <v>1.4928721565120599E-2</v>
      </c>
      <c r="H60" s="113">
        <f t="shared" si="3"/>
        <v>-1.7987329017794308E-2</v>
      </c>
      <c r="I60"/>
      <c r="J60"/>
      <c r="K60"/>
      <c r="L60"/>
    </row>
    <row r="61" spans="2:21" ht="13.35" customHeight="1" x14ac:dyDescent="0.2">
      <c r="B61" s="48" t="s">
        <v>34</v>
      </c>
      <c r="C61" s="75" t="s">
        <v>58</v>
      </c>
      <c r="D61" s="19">
        <f>A2.1.6!N52</f>
        <v>371516</v>
      </c>
      <c r="E61" s="15">
        <f>A2.1.6!O52</f>
        <v>358135</v>
      </c>
      <c r="F61" s="24">
        <f>A2.1.6!P52</f>
        <v>729651</v>
      </c>
      <c r="G61" s="23">
        <f t="shared" si="2"/>
        <v>7.2729237480000319E-2</v>
      </c>
      <c r="H61" s="113">
        <f t="shared" si="3"/>
        <v>-7.0109727346601258E-2</v>
      </c>
      <c r="I61"/>
      <c r="J61"/>
      <c r="K61"/>
      <c r="L61"/>
    </row>
    <row r="62" spans="2:21" ht="13.35" customHeight="1" x14ac:dyDescent="0.2">
      <c r="B62" s="48" t="s">
        <v>35</v>
      </c>
      <c r="C62" s="27" t="s">
        <v>59</v>
      </c>
      <c r="D62" s="19">
        <f>A2.1.6!N53</f>
        <v>357848</v>
      </c>
      <c r="E62" s="15">
        <f>A2.1.6!O53</f>
        <v>442542</v>
      </c>
      <c r="F62" s="24">
        <f>A2.1.6!P53</f>
        <v>800390</v>
      </c>
      <c r="G62" s="23">
        <f t="shared" si="2"/>
        <v>7.0053543249128311E-2</v>
      </c>
      <c r="H62" s="113">
        <f t="shared" si="3"/>
        <v>-8.6633529142417287E-2</v>
      </c>
      <c r="I62"/>
      <c r="J62"/>
      <c r="K62"/>
      <c r="L62"/>
    </row>
    <row r="63" spans="2:21" ht="13.35" customHeight="1" x14ac:dyDescent="0.2">
      <c r="B63" s="48" t="s">
        <v>36</v>
      </c>
      <c r="C63" s="27" t="s">
        <v>60</v>
      </c>
      <c r="D63" s="19">
        <f>A2.1.6!N54</f>
        <v>122412</v>
      </c>
      <c r="E63" s="15">
        <f>A2.1.6!O54</f>
        <v>216531</v>
      </c>
      <c r="F63" s="24">
        <f>A2.1.6!P54</f>
        <v>338943</v>
      </c>
      <c r="G63" s="23">
        <f t="shared" si="2"/>
        <v>2.3963790034350604E-2</v>
      </c>
      <c r="H63" s="113">
        <f t="shared" si="3"/>
        <v>-4.238884602757876E-2</v>
      </c>
      <c r="I63"/>
      <c r="J63"/>
      <c r="K63"/>
      <c r="L63"/>
    </row>
    <row r="64" spans="2:21" ht="13.35" customHeight="1" x14ac:dyDescent="0.2">
      <c r="B64" s="48" t="s">
        <v>37</v>
      </c>
      <c r="C64" s="27" t="s">
        <v>61</v>
      </c>
      <c r="D64" s="19">
        <f>A2.1.6!N55</f>
        <v>54595</v>
      </c>
      <c r="E64" s="15">
        <f>A2.1.6!O55</f>
        <v>127596</v>
      </c>
      <c r="F64" s="24">
        <f>A2.1.6!P55</f>
        <v>182191</v>
      </c>
      <c r="G64" s="23">
        <f t="shared" si="2"/>
        <v>1.0687703141239187E-2</v>
      </c>
      <c r="H64" s="113">
        <f t="shared" si="3"/>
        <v>-2.497862753016861E-2</v>
      </c>
      <c r="I64"/>
      <c r="J64"/>
      <c r="K64"/>
      <c r="L64"/>
    </row>
    <row r="65" spans="2:12" x14ac:dyDescent="0.2">
      <c r="B65" s="48" t="s">
        <v>38</v>
      </c>
      <c r="C65" s="27" t="s">
        <v>62</v>
      </c>
      <c r="D65" s="19">
        <f>A2.1.6!N56</f>
        <v>51849</v>
      </c>
      <c r="E65" s="15">
        <f>A2.1.6!O56</f>
        <v>143725</v>
      </c>
      <c r="F65" s="24">
        <f>A2.1.6!P56</f>
        <v>195574</v>
      </c>
      <c r="G65" s="23">
        <f t="shared" si="2"/>
        <v>1.0150136828832505E-2</v>
      </c>
      <c r="H65" s="113">
        <f t="shared" si="3"/>
        <v>-2.8136095502786007E-2</v>
      </c>
      <c r="I65"/>
      <c r="J65"/>
      <c r="K65"/>
      <c r="L65"/>
    </row>
    <row r="66" spans="2:12" x14ac:dyDescent="0.2">
      <c r="B66" s="48" t="s">
        <v>39</v>
      </c>
      <c r="C66" s="27" t="s">
        <v>63</v>
      </c>
      <c r="D66" s="19">
        <f>A2.1.6!N57</f>
        <v>14569</v>
      </c>
      <c r="E66" s="15">
        <f>A2.1.6!O57</f>
        <v>53210</v>
      </c>
      <c r="F66" s="24">
        <f>A2.1.6!P57</f>
        <v>67779</v>
      </c>
      <c r="G66" s="23">
        <f t="shared" si="2"/>
        <v>2.852077059524017E-3</v>
      </c>
      <c r="H66" s="113">
        <f t="shared" si="3"/>
        <v>-1.0416570824165897E-2</v>
      </c>
      <c r="I66"/>
      <c r="J66"/>
      <c r="K66"/>
      <c r="L66"/>
    </row>
    <row r="67" spans="2:12" x14ac:dyDescent="0.2">
      <c r="B67" s="48" t="s">
        <v>40</v>
      </c>
      <c r="C67" s="27" t="s">
        <v>64</v>
      </c>
      <c r="D67" s="19">
        <f>A2.1.6!N58</f>
        <v>9705</v>
      </c>
      <c r="E67" s="15">
        <f>A2.1.6!O58</f>
        <v>48457</v>
      </c>
      <c r="F67" s="24">
        <f>A2.1.6!P58</f>
        <v>58162</v>
      </c>
      <c r="G67" s="23">
        <f t="shared" si="2"/>
        <v>1.8998838535713217E-3</v>
      </c>
      <c r="H67" s="113">
        <f t="shared" si="3"/>
        <v>-9.4861073562602302E-3</v>
      </c>
      <c r="I67"/>
      <c r="J67"/>
      <c r="K67"/>
      <c r="L67"/>
    </row>
    <row r="68" spans="2:12" x14ac:dyDescent="0.2">
      <c r="B68" s="48" t="s">
        <v>41</v>
      </c>
      <c r="C68" s="27" t="s">
        <v>65</v>
      </c>
      <c r="D68" s="19">
        <f>A2.1.6!N59</f>
        <v>1606</v>
      </c>
      <c r="E68" s="15">
        <f>A2.1.6!O59</f>
        <v>13064</v>
      </c>
      <c r="F68" s="24">
        <f>A2.1.6!P59</f>
        <v>14670</v>
      </c>
      <c r="G68" s="23">
        <f t="shared" si="2"/>
        <v>3.1439602976151909E-4</v>
      </c>
      <c r="H68" s="113">
        <f t="shared" si="3"/>
        <v>-2.5574531337512361E-3</v>
      </c>
      <c r="I68"/>
      <c r="J68"/>
      <c r="K68"/>
      <c r="L68"/>
    </row>
    <row r="69" spans="2:12" x14ac:dyDescent="0.2">
      <c r="B69" s="48" t="s">
        <v>42</v>
      </c>
      <c r="C69" s="27" t="s">
        <v>66</v>
      </c>
      <c r="D69" s="19">
        <f>A2.1.6!N60</f>
        <v>218</v>
      </c>
      <c r="E69" s="15">
        <f>A2.1.6!O60</f>
        <v>2321</v>
      </c>
      <c r="F69" s="24">
        <f>A2.1.6!P60</f>
        <v>2539</v>
      </c>
      <c r="G69" s="23">
        <f t="shared" si="2"/>
        <v>4.2676422470741688E-5</v>
      </c>
      <c r="H69" s="113">
        <f t="shared" si="3"/>
        <v>-4.5436686492931864E-4</v>
      </c>
      <c r="I69"/>
      <c r="J69"/>
      <c r="K69"/>
      <c r="L69"/>
    </row>
    <row r="70" spans="2:12" x14ac:dyDescent="0.2">
      <c r="B70" s="67" t="s">
        <v>8</v>
      </c>
      <c r="C70" s="76"/>
      <c r="D70" s="20">
        <f t="shared" ref="D70:F70" si="4">SUM(D45:D69)</f>
        <v>2226693</v>
      </c>
      <c r="E70" s="18">
        <f t="shared" si="4"/>
        <v>2881514</v>
      </c>
      <c r="F70" s="25">
        <f t="shared" si="4"/>
        <v>5108207</v>
      </c>
      <c r="G70" s="114">
        <f t="shared" si="2"/>
        <v>0.43590500541579463</v>
      </c>
      <c r="H70" s="115">
        <f t="shared" si="3"/>
        <v>-0.56409499458420542</v>
      </c>
      <c r="I70"/>
      <c r="J70"/>
      <c r="K70"/>
      <c r="L70"/>
    </row>
    <row r="71" spans="2:12" x14ac:dyDescent="0.2">
      <c r="B71" s="2"/>
      <c r="F71" s="13"/>
      <c r="G71" s="62"/>
      <c r="H71" s="14"/>
      <c r="I71"/>
      <c r="J71"/>
      <c r="K71"/>
      <c r="L71"/>
    </row>
    <row r="72" spans="2:12" ht="11.25" x14ac:dyDescent="0.2">
      <c r="B72" s="2" t="s">
        <v>367</v>
      </c>
      <c r="D72" s="1021" t="str">
        <f>A2.1.5!N2</f>
        <v>2012 [86.9% assessed]</v>
      </c>
      <c r="E72" s="1022"/>
      <c r="F72" s="1023"/>
      <c r="G72" s="62"/>
      <c r="H72" s="14"/>
      <c r="I72" s="10"/>
    </row>
    <row r="73" spans="2:12" ht="33.75" x14ac:dyDescent="0.2">
      <c r="B73" s="2"/>
      <c r="D73" s="574" t="str">
        <f>A2.1.5!N3</f>
        <v>Number of taxpayers</v>
      </c>
      <c r="E73" s="33" t="str">
        <f>A2.1.5!O3</f>
        <v>Taxable income 
(R million)</v>
      </c>
      <c r="F73" s="74" t="str">
        <f>A2.1.5!P3</f>
        <v>Tax 
assessed
(R million)</v>
      </c>
      <c r="G73" s="62"/>
      <c r="H73" s="14"/>
      <c r="I73" s="10"/>
    </row>
    <row r="74" spans="2:12" ht="11.25" x14ac:dyDescent="0.2">
      <c r="B74" s="2"/>
      <c r="D74" s="457">
        <f>A2.1.5!N4</f>
        <v>2226693</v>
      </c>
      <c r="E74" s="15">
        <f>A2.1.5!O4</f>
        <v>372946.931025</v>
      </c>
      <c r="F74" s="24">
        <f>A2.1.5!P4</f>
        <v>62303.130145000003</v>
      </c>
      <c r="G74" s="62">
        <f>E74/D74*1000000</f>
        <v>167489.15590294666</v>
      </c>
      <c r="H74" s="14">
        <f>F74/D74*1000000</f>
        <v>27980.116767331645</v>
      </c>
      <c r="I74" s="297">
        <f>H74/G74</f>
        <v>0.16705628860858918</v>
      </c>
      <c r="K74" s="298">
        <f>G75-G74</f>
        <v>58429.859847801039</v>
      </c>
      <c r="L74" s="299">
        <f>K74/G75</f>
        <v>0.25863188033833162</v>
      </c>
    </row>
    <row r="75" spans="2:12" ht="11.25" x14ac:dyDescent="0.2">
      <c r="B75" s="2"/>
      <c r="D75" s="457">
        <f>A2.1.5!N5</f>
        <v>2881514</v>
      </c>
      <c r="E75" s="15">
        <f>A2.1.5!O5</f>
        <v>650988.806752</v>
      </c>
      <c r="F75" s="24">
        <f>A2.1.5!P5</f>
        <v>144365.21947000001</v>
      </c>
      <c r="G75" s="62">
        <f>E75/D75*1000000</f>
        <v>225919.0157507477</v>
      </c>
      <c r="H75" s="14">
        <f>F75/D75*1000000</f>
        <v>50100.474774719129</v>
      </c>
      <c r="I75" s="297">
        <f>H75/G75</f>
        <v>0.22176298266983449</v>
      </c>
      <c r="K75" s="298">
        <f>H75-H74</f>
        <v>22120.358007387484</v>
      </c>
      <c r="L75" s="299">
        <f>K75/H75</f>
        <v>0.44151992784207089</v>
      </c>
    </row>
    <row r="76" spans="2:12" ht="11.25" x14ac:dyDescent="0.2">
      <c r="B76" s="2"/>
      <c r="D76" s="575">
        <f>A2.1.5!N6</f>
        <v>5108207</v>
      </c>
      <c r="E76" s="87">
        <f>A2.1.5!O6</f>
        <v>1023935.7377770001</v>
      </c>
      <c r="F76" s="88">
        <f>A2.1.5!P6</f>
        <v>206668.34961500001</v>
      </c>
      <c r="G76" s="62"/>
      <c r="H76" s="14"/>
      <c r="I76" s="10"/>
    </row>
    <row r="77" spans="2:12" ht="11.25" x14ac:dyDescent="0.2">
      <c r="B77" s="2"/>
      <c r="D77" s="576">
        <f>A2.1.5!N7</f>
        <v>0</v>
      </c>
      <c r="E77" s="85">
        <f>A2.1.5!O7</f>
        <v>0</v>
      </c>
      <c r="F77" s="86">
        <f>A2.1.5!P7</f>
        <v>0</v>
      </c>
      <c r="G77" s="62"/>
      <c r="H77" s="14"/>
      <c r="I77" s="10"/>
    </row>
    <row r="78" spans="2:12" ht="11.25" x14ac:dyDescent="0.2">
      <c r="B78" s="2"/>
      <c r="D78" s="577">
        <f>A2.1.5!N8</f>
        <v>0.43590500541579463</v>
      </c>
      <c r="E78" s="56">
        <f>A2.1.5!O8</f>
        <v>0.36422884490259194</v>
      </c>
      <c r="F78" s="57">
        <f>A2.1.5!P8</f>
        <v>0.30146430385234968</v>
      </c>
      <c r="G78" s="62"/>
      <c r="H78" s="14"/>
      <c r="I78" s="10"/>
    </row>
    <row r="79" spans="2:12" ht="11.25" x14ac:dyDescent="0.2">
      <c r="B79" s="2"/>
      <c r="D79" s="577">
        <f>A2.1.5!N9</f>
        <v>0.56409499458420542</v>
      </c>
      <c r="E79" s="56">
        <f>A2.1.5!O9</f>
        <v>0.635771155097408</v>
      </c>
      <c r="F79" s="57">
        <f>A2.1.5!P9</f>
        <v>0.69853569614765032</v>
      </c>
      <c r="G79" s="62"/>
      <c r="H79" s="14"/>
      <c r="I79" s="10"/>
    </row>
    <row r="80" spans="2:12" ht="11.25" x14ac:dyDescent="0.2">
      <c r="B80" s="2"/>
      <c r="D80" s="578">
        <f>A2.1.5!N10</f>
        <v>1</v>
      </c>
      <c r="E80" s="58">
        <f>A2.1.5!O10</f>
        <v>1</v>
      </c>
      <c r="F80" s="59">
        <f>A2.1.5!P10</f>
        <v>1</v>
      </c>
      <c r="G80" s="62"/>
      <c r="H80" s="14"/>
      <c r="I80" s="10"/>
    </row>
  </sheetData>
  <mergeCells count="3">
    <mergeCell ref="D72:F72"/>
    <mergeCell ref="D43:F43"/>
    <mergeCell ref="D27:F27"/>
  </mergeCells>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249977111117893"/>
    <pageSetUpPr fitToPage="1"/>
  </sheetPr>
  <dimension ref="B1:K36"/>
  <sheetViews>
    <sheetView showGridLines="0" zoomScaleNormal="100" zoomScaleSheetLayoutView="90" workbookViewId="0"/>
  </sheetViews>
  <sheetFormatPr defaultRowHeight="12.75" x14ac:dyDescent="0.2"/>
  <cols>
    <col min="1" max="1" width="3.7109375" customWidth="1"/>
    <col min="2" max="2" width="9.140625" style="41"/>
    <col min="4" max="4" width="9.140625" customWidth="1"/>
    <col min="6" max="6" width="9.140625" customWidth="1"/>
  </cols>
  <sheetData>
    <row r="1" spans="2:11" ht="15" customHeight="1" x14ac:dyDescent="0.2">
      <c r="B1" s="475" t="s">
        <v>543</v>
      </c>
      <c r="C1" s="559"/>
      <c r="D1" s="559"/>
      <c r="E1" s="559"/>
      <c r="F1" s="559"/>
      <c r="G1" s="559"/>
      <c r="H1" s="559"/>
      <c r="I1" s="586"/>
      <c r="J1" s="586"/>
      <c r="K1" s="586"/>
    </row>
    <row r="23" spans="2:5" x14ac:dyDescent="0.2">
      <c r="D23" s="352" t="s">
        <v>371</v>
      </c>
    </row>
    <row r="25" spans="2:5" x14ac:dyDescent="0.2">
      <c r="B25" s="224" t="s">
        <v>355</v>
      </c>
      <c r="C25" s="225"/>
      <c r="D25" s="231">
        <v>2012</v>
      </c>
      <c r="E25" s="211"/>
    </row>
    <row r="26" spans="2:5" x14ac:dyDescent="0.2">
      <c r="B26" s="156" t="s">
        <v>87</v>
      </c>
      <c r="C26" s="148"/>
      <c r="D26" s="229"/>
      <c r="E26" s="210"/>
    </row>
    <row r="27" spans="2:5" x14ac:dyDescent="0.2">
      <c r="B27" s="156" t="s">
        <v>202</v>
      </c>
      <c r="C27" s="148"/>
      <c r="D27" s="229"/>
      <c r="E27" s="210"/>
    </row>
    <row r="28" spans="2:5" x14ac:dyDescent="0.2">
      <c r="B28" s="157">
        <v>3601</v>
      </c>
      <c r="C28" s="16" t="s">
        <v>210</v>
      </c>
      <c r="D28" s="230">
        <f t="shared" ref="D28:D36" si="0">E28/$E$36</f>
        <v>0.79017278177491301</v>
      </c>
      <c r="E28" s="223">
        <f>A2.2.1!L5</f>
        <v>809086.15027800004</v>
      </c>
    </row>
    <row r="29" spans="2:5" x14ac:dyDescent="0.2">
      <c r="B29" s="157">
        <v>3605</v>
      </c>
      <c r="C29" s="16" t="s">
        <v>207</v>
      </c>
      <c r="D29" s="230">
        <f t="shared" si="0"/>
        <v>9.3765551924616691E-2</v>
      </c>
      <c r="E29" s="223">
        <f>A2.2.1!L7</f>
        <v>96009.899588</v>
      </c>
    </row>
    <row r="30" spans="2:5" x14ac:dyDescent="0.2">
      <c r="B30" s="157">
        <v>3615</v>
      </c>
      <c r="C30" s="16" t="s">
        <v>190</v>
      </c>
      <c r="D30" s="230">
        <f t="shared" si="0"/>
        <v>3.9112016738419554E-2</v>
      </c>
      <c r="E30" s="223">
        <f>A2.2.1!L11</f>
        <v>40048.191715000001</v>
      </c>
    </row>
    <row r="31" spans="2:5" x14ac:dyDescent="0.2">
      <c r="B31" s="157">
        <v>3606</v>
      </c>
      <c r="C31" s="16" t="s">
        <v>184</v>
      </c>
      <c r="D31" s="230">
        <f t="shared" si="0"/>
        <v>2.8689179157645229E-2</v>
      </c>
      <c r="E31" s="223">
        <f>A2.2.1!L8</f>
        <v>29375.875827</v>
      </c>
    </row>
    <row r="32" spans="2:5" x14ac:dyDescent="0.2">
      <c r="B32" s="157">
        <v>4201</v>
      </c>
      <c r="C32" s="16" t="s">
        <v>204</v>
      </c>
      <c r="D32" s="230">
        <f t="shared" si="0"/>
        <v>9.3145252051717517E-3</v>
      </c>
      <c r="E32" s="223">
        <f>A2.2.1!L15</f>
        <v>9537.4752380000009</v>
      </c>
    </row>
    <row r="33" spans="2:5" hidden="1" x14ac:dyDescent="0.2">
      <c r="B33" s="157">
        <v>3607</v>
      </c>
      <c r="C33" s="16" t="s">
        <v>185</v>
      </c>
      <c r="D33" s="230">
        <f t="shared" si="0"/>
        <v>0</v>
      </c>
      <c r="E33" s="223">
        <f>A2.2.1!L9</f>
        <v>0</v>
      </c>
    </row>
    <row r="34" spans="2:5" hidden="1" x14ac:dyDescent="0.2">
      <c r="B34" s="157">
        <v>3603</v>
      </c>
      <c r="C34" s="16" t="s">
        <v>206</v>
      </c>
      <c r="D34" s="230">
        <f t="shared" si="0"/>
        <v>0</v>
      </c>
      <c r="E34" s="223">
        <f>A2.2.1!L6</f>
        <v>0</v>
      </c>
    </row>
    <row r="35" spans="2:5" x14ac:dyDescent="0.2">
      <c r="B35" s="279"/>
      <c r="C35" s="280" t="s">
        <v>322</v>
      </c>
      <c r="D35" s="281">
        <f t="shared" si="0"/>
        <v>3.8945945199233695E-2</v>
      </c>
      <c r="E35" s="282">
        <f>E36-SUM(E28:E34)</f>
        <v>39878.145130999968</v>
      </c>
    </row>
    <row r="36" spans="2:5" x14ac:dyDescent="0.2">
      <c r="B36" s="275" t="s">
        <v>8</v>
      </c>
      <c r="C36" s="276"/>
      <c r="D36" s="277">
        <f t="shared" si="0"/>
        <v>1</v>
      </c>
      <c r="E36" s="278">
        <f>A2.2.1!L30</f>
        <v>1023935.7377770001</v>
      </c>
    </row>
  </sheetData>
  <sortState ref="B28:E34">
    <sortCondition descending="1" ref="D28:D34"/>
  </sortState>
  <hyperlinks>
    <hyperlink ref="D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pageSetUpPr fitToPage="1"/>
  </sheetPr>
  <dimension ref="B1:L50"/>
  <sheetViews>
    <sheetView showGridLines="0" zoomScaleNormal="100" zoomScaleSheetLayoutView="90" workbookViewId="0"/>
  </sheetViews>
  <sheetFormatPr defaultRowHeight="12.75" x14ac:dyDescent="0.2"/>
  <cols>
    <col min="1" max="1" width="3.7109375" customWidth="1"/>
    <col min="10" max="10" width="9.140625" style="1" customWidth="1"/>
    <col min="11" max="12" width="9.140625" style="1"/>
  </cols>
  <sheetData>
    <row r="1" spans="2:2" ht="15" customHeight="1" x14ac:dyDescent="0.2">
      <c r="B1" s="447" t="s">
        <v>542</v>
      </c>
    </row>
    <row r="23" spans="2:5" x14ac:dyDescent="0.2">
      <c r="E23" s="352" t="s">
        <v>371</v>
      </c>
    </row>
    <row r="25" spans="2:5" x14ac:dyDescent="0.2">
      <c r="B25" s="224" t="s">
        <v>514</v>
      </c>
      <c r="C25" s="225"/>
      <c r="D25" s="226"/>
    </row>
    <row r="26" spans="2:5" x14ac:dyDescent="0.2">
      <c r="B26" s="150"/>
      <c r="C26" s="142"/>
      <c r="D26" s="151">
        <v>2012</v>
      </c>
    </row>
    <row r="27" spans="2:5" ht="33.75" x14ac:dyDescent="0.2">
      <c r="B27" s="626" t="s">
        <v>142</v>
      </c>
      <c r="C27" s="627"/>
      <c r="D27" s="152" t="s">
        <v>68</v>
      </c>
    </row>
    <row r="28" spans="2:5" x14ac:dyDescent="0.2">
      <c r="B28" s="145" t="s">
        <v>418</v>
      </c>
      <c r="C28" s="16"/>
      <c r="D28" s="595">
        <f>D40/1000</f>
        <v>100.50685006499999</v>
      </c>
    </row>
    <row r="29" spans="2:5" x14ac:dyDescent="0.2">
      <c r="B29" s="145" t="s">
        <v>563</v>
      </c>
      <c r="C29" s="16"/>
      <c r="D29" s="595">
        <f t="shared" ref="D29:D34" si="0">D41/1000</f>
        <v>36.450085627000007</v>
      </c>
    </row>
    <row r="30" spans="2:5" x14ac:dyDescent="0.2">
      <c r="B30" s="145" t="s">
        <v>564</v>
      </c>
      <c r="C30" s="16"/>
      <c r="D30" s="595">
        <f t="shared" si="0"/>
        <v>17.400857232000003</v>
      </c>
    </row>
    <row r="31" spans="2:5" x14ac:dyDescent="0.2">
      <c r="B31" s="145" t="s">
        <v>152</v>
      </c>
      <c r="C31" s="16"/>
      <c r="D31" s="595">
        <f t="shared" si="0"/>
        <v>16.228904885999999</v>
      </c>
    </row>
    <row r="32" spans="2:5" x14ac:dyDescent="0.2">
      <c r="B32" s="145" t="s">
        <v>565</v>
      </c>
      <c r="C32" s="16"/>
      <c r="D32" s="595">
        <f t="shared" si="0"/>
        <v>11.127102853</v>
      </c>
    </row>
    <row r="33" spans="2:4" x14ac:dyDescent="0.2">
      <c r="B33" s="145" t="s">
        <v>566</v>
      </c>
      <c r="C33" s="16"/>
      <c r="D33" s="595">
        <f t="shared" si="0"/>
        <v>7.5793449849999996</v>
      </c>
    </row>
    <row r="34" spans="2:4" x14ac:dyDescent="0.2">
      <c r="B34" s="145" t="s">
        <v>5</v>
      </c>
      <c r="C34" s="16"/>
      <c r="D34" s="595">
        <f t="shared" si="0"/>
        <v>6.546304535</v>
      </c>
    </row>
    <row r="35" spans="2:4" x14ac:dyDescent="0.2">
      <c r="B35" s="145" t="s">
        <v>321</v>
      </c>
      <c r="C35" s="16"/>
      <c r="D35" s="595">
        <f>D36-SUM(D28:D34)</f>
        <v>10.828899432000014</v>
      </c>
    </row>
    <row r="36" spans="2:4" x14ac:dyDescent="0.2">
      <c r="B36" s="593" t="s">
        <v>8</v>
      </c>
      <c r="C36" s="594"/>
      <c r="D36" s="596">
        <f>D50/1000</f>
        <v>206.66834961500001</v>
      </c>
    </row>
    <row r="37" spans="2:4" x14ac:dyDescent="0.2">
      <c r="B37" s="148"/>
    </row>
    <row r="38" spans="2:4" x14ac:dyDescent="0.2">
      <c r="B38" s="41"/>
    </row>
    <row r="39" spans="2:4" x14ac:dyDescent="0.2">
      <c r="B39" s="592"/>
      <c r="C39" s="226"/>
      <c r="D39" s="151">
        <v>2012</v>
      </c>
    </row>
    <row r="40" spans="2:4" x14ac:dyDescent="0.2">
      <c r="B40" s="145" t="str">
        <f>A2.3.2!C14</f>
        <v>Financial intermediation, insurance, real-estate and business services4</v>
      </c>
      <c r="C40" s="16"/>
      <c r="D40" s="207">
        <f>A2.3.2!P14</f>
        <v>100506.85006499999</v>
      </c>
    </row>
    <row r="41" spans="2:4" x14ac:dyDescent="0.2">
      <c r="B41" s="145" t="str">
        <f>A2.3.2!C15</f>
        <v>Community, social and personal services5</v>
      </c>
      <c r="C41" s="16"/>
      <c r="D41" s="207">
        <f>A2.3.2!P15</f>
        <v>36450.085627000008</v>
      </c>
    </row>
    <row r="42" spans="2:4" x14ac:dyDescent="0.2">
      <c r="B42" s="145" t="str">
        <f>A2.3.2!C12</f>
        <v>Wholesale and retail trade, catering and accommodation3</v>
      </c>
      <c r="C42" s="16"/>
      <c r="D42" s="207">
        <f>A2.3.2!P12</f>
        <v>17400.857232000002</v>
      </c>
    </row>
    <row r="43" spans="2:4" x14ac:dyDescent="0.2">
      <c r="B43" s="145" t="str">
        <f>A2.3.2!C8</f>
        <v>Manufacturing2</v>
      </c>
      <c r="C43" s="16"/>
      <c r="D43" s="207">
        <f>A2.3.2!P8</f>
        <v>16228.904886</v>
      </c>
    </row>
    <row r="44" spans="2:4" x14ac:dyDescent="0.2">
      <c r="B44" s="145" t="str">
        <f>A2.3.2!C6</f>
        <v>Mining and quarrying</v>
      </c>
      <c r="C44" s="16"/>
      <c r="D44" s="207">
        <f>A2.3.2!P6</f>
        <v>11127.102853</v>
      </c>
    </row>
    <row r="45" spans="2:4" x14ac:dyDescent="0.2">
      <c r="B45" s="145" t="str">
        <f>A2.3.2!C13</f>
        <v>Transport, storage and communication</v>
      </c>
      <c r="C45" s="16"/>
      <c r="D45" s="207">
        <f>A2.3.2!P13</f>
        <v>7579.3449849999997</v>
      </c>
    </row>
    <row r="46" spans="2:4" x14ac:dyDescent="0.2">
      <c r="B46" s="145" t="str">
        <f>A2.3.2!C10</f>
        <v>Construction</v>
      </c>
      <c r="C46" s="16"/>
      <c r="D46" s="207">
        <f>A2.3.2!P10</f>
        <v>6546.3045350000002</v>
      </c>
    </row>
    <row r="47" spans="2:4" x14ac:dyDescent="0.2">
      <c r="B47" s="145" t="str">
        <f>A2.3.2!C5</f>
        <v>Agriculture, forestry and fishing</v>
      </c>
      <c r="C47" s="16"/>
      <c r="D47" s="207">
        <f>A2.3.2!P5</f>
        <v>5227.3691719999997</v>
      </c>
    </row>
    <row r="48" spans="2:4" x14ac:dyDescent="0.2">
      <c r="B48" s="145" t="str">
        <f>A2.3.2!C9</f>
        <v>Electricity, gas and water</v>
      </c>
      <c r="C48" s="16"/>
      <c r="D48" s="207">
        <f>A2.3.2!P9</f>
        <v>1651.2267939999999</v>
      </c>
    </row>
    <row r="49" spans="2:4" x14ac:dyDescent="0.2">
      <c r="B49" s="145" t="str">
        <f>A2.3.2!C16</f>
        <v>Other6</v>
      </c>
      <c r="C49" s="16"/>
      <c r="D49" s="207">
        <f>A2.3.2!P16</f>
        <v>3950.303466000038</v>
      </c>
    </row>
    <row r="50" spans="2:4" x14ac:dyDescent="0.2">
      <c r="B50" s="589" t="str">
        <f>A2.3.2!C17</f>
        <v>Total</v>
      </c>
      <c r="C50" s="590"/>
      <c r="D50" s="591">
        <f>A2.3.2!P17</f>
        <v>206668.34961500001</v>
      </c>
    </row>
  </sheetData>
  <sortState ref="B40:D48">
    <sortCondition descending="1" ref="D40:D48"/>
  </sortState>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B1:E48"/>
  <sheetViews>
    <sheetView showGridLines="0" zoomScaleNormal="100" zoomScaleSheetLayoutView="90" workbookViewId="0"/>
  </sheetViews>
  <sheetFormatPr defaultRowHeight="12.75" x14ac:dyDescent="0.2"/>
  <cols>
    <col min="1" max="1" width="3.7109375" customWidth="1"/>
    <col min="2" max="2" width="9.140625" style="41"/>
    <col min="5" max="5" width="9.140625" customWidth="1"/>
  </cols>
  <sheetData>
    <row r="1" spans="2:2" ht="15" customHeight="1" x14ac:dyDescent="0.2">
      <c r="B1" s="447" t="s">
        <v>541</v>
      </c>
    </row>
    <row r="23" spans="2:5" x14ac:dyDescent="0.2">
      <c r="E23" s="352" t="s">
        <v>371</v>
      </c>
    </row>
    <row r="25" spans="2:5" x14ac:dyDescent="0.2">
      <c r="B25" s="224" t="s">
        <v>313</v>
      </c>
      <c r="C25" s="225"/>
      <c r="D25" s="226"/>
    </row>
    <row r="26" spans="2:5" x14ac:dyDescent="0.2">
      <c r="B26" s="150"/>
      <c r="C26" s="142"/>
      <c r="D26" s="151">
        <v>2012</v>
      </c>
    </row>
    <row r="27" spans="2:5" ht="33.75" x14ac:dyDescent="0.2">
      <c r="B27" s="508" t="s">
        <v>208</v>
      </c>
      <c r="C27" s="510"/>
      <c r="D27" s="152" t="s">
        <v>68</v>
      </c>
    </row>
    <row r="28" spans="2:5" x14ac:dyDescent="0.2">
      <c r="B28" s="145" t="str">
        <f>B37</f>
        <v>Travel allowance</v>
      </c>
      <c r="C28" s="16"/>
      <c r="D28" s="595">
        <f>D37/1000</f>
        <v>26.146005357</v>
      </c>
    </row>
    <row r="29" spans="2:5" x14ac:dyDescent="0.2">
      <c r="B29" s="145" t="str">
        <f>B38</f>
        <v>Share options exercised</v>
      </c>
      <c r="C29" s="16"/>
      <c r="D29" s="595">
        <f>D38/1000</f>
        <v>7.4840023229999995</v>
      </c>
    </row>
    <row r="30" spans="2:5" x14ac:dyDescent="0.2">
      <c r="B30" s="145" t="str">
        <f>B39</f>
        <v>Reimbursive travel allowance - taxable</v>
      </c>
      <c r="C30" s="16"/>
      <c r="D30" s="595">
        <f>D39/1000</f>
        <v>3.548732942</v>
      </c>
    </row>
    <row r="31" spans="2:5" x14ac:dyDescent="0.2">
      <c r="B31" s="145" t="s">
        <v>323</v>
      </c>
      <c r="C31" s="16"/>
      <c r="D31" s="595">
        <f>D32-SUM(D28:D30)</f>
        <v>45.890481608999998</v>
      </c>
    </row>
    <row r="32" spans="2:5" x14ac:dyDescent="0.2">
      <c r="B32" s="593" t="s">
        <v>8</v>
      </c>
      <c r="C32" s="594"/>
      <c r="D32" s="596">
        <f>D48/1000</f>
        <v>83.069222230999998</v>
      </c>
    </row>
    <row r="33" spans="2:4" x14ac:dyDescent="0.2">
      <c r="B33" s="148"/>
    </row>
    <row r="35" spans="2:4" x14ac:dyDescent="0.2">
      <c r="B35" s="592"/>
      <c r="C35" s="226"/>
      <c r="D35" s="151">
        <v>2012</v>
      </c>
    </row>
    <row r="36" spans="2:4" x14ac:dyDescent="0.2">
      <c r="B36" s="145" t="str">
        <f>A2.5.1!D13</f>
        <v>Other allowances - taxable2</v>
      </c>
      <c r="C36" s="16"/>
      <c r="D36" s="207">
        <f>A2.5.1!L13</f>
        <v>39609.198036999995</v>
      </c>
    </row>
    <row r="37" spans="2:4" x14ac:dyDescent="0.2">
      <c r="B37" s="145" t="str">
        <f>A2.5.1!D4</f>
        <v>Travel allowance</v>
      </c>
      <c r="C37" s="16"/>
      <c r="D37" s="207">
        <f>A2.5.1!L4</f>
        <v>26146.005356999998</v>
      </c>
    </row>
    <row r="38" spans="2:4" x14ac:dyDescent="0.2">
      <c r="B38" s="145" t="str">
        <f>A2.5.1!D8</f>
        <v>Share options exercised</v>
      </c>
      <c r="C38" s="16"/>
      <c r="D38" s="207">
        <f>A2.5.1!L8</f>
        <v>7484.0023229999997</v>
      </c>
    </row>
    <row r="39" spans="2:4" x14ac:dyDescent="0.2">
      <c r="B39" s="145" t="str">
        <f>A2.5.1!D5</f>
        <v>Reimbursive travel allowance - taxable</v>
      </c>
      <c r="C39" s="16"/>
      <c r="D39" s="207">
        <f>A2.5.1!L5</f>
        <v>3548.7329420000001</v>
      </c>
    </row>
    <row r="40" spans="2:4" x14ac:dyDescent="0.2">
      <c r="B40" s="145" t="str">
        <f>A2.5.1!D9</f>
        <v>Public office allowance</v>
      </c>
      <c r="C40" s="16"/>
      <c r="D40" s="207">
        <f>A2.5.1!L9</f>
        <v>352.19867499999998</v>
      </c>
    </row>
    <row r="41" spans="2:4" x14ac:dyDescent="0.2">
      <c r="B41" s="145" t="str">
        <f>A2.5.1!D6</f>
        <v>Subsistence allowance (local) - taxable</v>
      </c>
      <c r="C41" s="16"/>
      <c r="D41" s="207">
        <f>A2.5.1!L6</f>
        <v>315.64769000000001</v>
      </c>
    </row>
    <row r="42" spans="2:4" x14ac:dyDescent="0.2">
      <c r="B42" s="145" t="str">
        <f>A2.5.1!D15</f>
        <v>Foreign allowances4</v>
      </c>
      <c r="C42" s="16"/>
      <c r="D42" s="207">
        <f>A2.5.1!L15</f>
        <v>200.30621899999997</v>
      </c>
    </row>
    <row r="43" spans="2:4" x14ac:dyDescent="0.2">
      <c r="B43" s="145" t="str">
        <f>A2.5.1!D14</f>
        <v>Other3</v>
      </c>
      <c r="C43" s="16"/>
      <c r="D43" s="207">
        <f>A2.5.1!L14</f>
        <v>5413.1309879999999</v>
      </c>
    </row>
    <row r="44" spans="2:4" x14ac:dyDescent="0.2">
      <c r="B44" s="145" t="str">
        <f>A2.5.1!D7</f>
        <v>Entertainment allowance</v>
      </c>
      <c r="C44" s="16"/>
      <c r="D44" s="207">
        <f>A2.5.1!L7</f>
        <v>0</v>
      </c>
    </row>
    <row r="45" spans="2:4" x14ac:dyDescent="0.2">
      <c r="B45" s="145" t="str">
        <f>A2.5.1!D10</f>
        <v>Tool allowance</v>
      </c>
      <c r="C45" s="16"/>
      <c r="D45" s="207">
        <f>A2.5.1!L10</f>
        <v>0</v>
      </c>
    </row>
    <row r="46" spans="2:4" x14ac:dyDescent="0.2">
      <c r="B46" s="145" t="str">
        <f>A2.5.1!D11</f>
        <v>Computer allowance</v>
      </c>
      <c r="C46" s="16"/>
      <c r="D46" s="207">
        <f>A2.5.1!L11</f>
        <v>0</v>
      </c>
    </row>
    <row r="47" spans="2:4" x14ac:dyDescent="0.2">
      <c r="B47" s="145" t="str">
        <f>A2.5.1!D12</f>
        <v>Telephone/Cell phone allowance</v>
      </c>
      <c r="C47" s="16"/>
      <c r="D47" s="207">
        <f>A2.5.1!L12</f>
        <v>0</v>
      </c>
    </row>
    <row r="48" spans="2:4" x14ac:dyDescent="0.2">
      <c r="B48" s="589" t="str">
        <f>A2.3.1!C39</f>
        <v>Total</v>
      </c>
      <c r="C48" s="590"/>
      <c r="D48" s="591">
        <f>A2.5.1!L16</f>
        <v>83069.222230999992</v>
      </c>
    </row>
  </sheetData>
  <sortState ref="B40:D51">
    <sortCondition descending="1" ref="D40:D51"/>
  </sortState>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7" tint="-0.249977111117893"/>
    <pageSetUpPr fitToPage="1"/>
  </sheetPr>
  <dimension ref="B1:E36"/>
  <sheetViews>
    <sheetView showGridLines="0" zoomScaleNormal="100" zoomScaleSheetLayoutView="90" workbookViewId="0"/>
  </sheetViews>
  <sheetFormatPr defaultRowHeight="12.75" x14ac:dyDescent="0.2"/>
  <cols>
    <col min="1" max="1" width="3.7109375" customWidth="1"/>
    <col min="2" max="2" width="9.140625" style="41"/>
    <col min="5" max="5" width="9.140625" customWidth="1"/>
  </cols>
  <sheetData>
    <row r="1" spans="2:2" ht="15" customHeight="1" x14ac:dyDescent="0.2">
      <c r="B1" s="447" t="s">
        <v>540</v>
      </c>
    </row>
    <row r="23" spans="2:5" x14ac:dyDescent="0.2">
      <c r="E23" s="352" t="s">
        <v>371</v>
      </c>
    </row>
    <row r="26" spans="2:5" x14ac:dyDescent="0.2">
      <c r="B26" s="224" t="s">
        <v>314</v>
      </c>
      <c r="C26" s="225"/>
      <c r="D26" s="226"/>
    </row>
    <row r="27" spans="2:5" x14ac:dyDescent="0.2">
      <c r="B27" s="150"/>
      <c r="C27" s="142"/>
      <c r="D27" s="151">
        <v>2012</v>
      </c>
    </row>
    <row r="28" spans="2:5" ht="33.75" x14ac:dyDescent="0.2">
      <c r="B28" s="626" t="s">
        <v>325</v>
      </c>
      <c r="C28" s="627"/>
      <c r="D28" s="152" t="s">
        <v>433</v>
      </c>
    </row>
    <row r="29" spans="2:5" x14ac:dyDescent="0.2">
      <c r="B29" s="145" t="str">
        <f>A2.7.1!D8</f>
        <v>Medical expenses (total)</v>
      </c>
      <c r="C29" s="16"/>
      <c r="D29" s="595">
        <f>A2.7.1!L8/1000</f>
        <v>60.609051098000002</v>
      </c>
    </row>
    <row r="30" spans="2:5" x14ac:dyDescent="0.2">
      <c r="B30" s="145" t="str">
        <f>A2.7.1!D4</f>
        <v>Current pension fund contributions</v>
      </c>
      <c r="C30" s="16"/>
      <c r="D30" s="595">
        <f>A2.7.1!L4/1000</f>
        <v>27.880379620999999</v>
      </c>
    </row>
    <row r="31" spans="2:5" x14ac:dyDescent="0.2">
      <c r="B31" s="145" t="str">
        <f>A2.7.1!D11</f>
        <v>Travel expenses - fixed cost - business cost claimed against allowance</v>
      </c>
      <c r="C31" s="16"/>
      <c r="D31" s="595">
        <f>A2.7.1!L11/1000</f>
        <v>17.603968130000002</v>
      </c>
    </row>
    <row r="32" spans="2:5" x14ac:dyDescent="0.2">
      <c r="B32" s="145" t="str">
        <f>A2.7.1!D6</f>
        <v>Current retirement annuity fund contributions</v>
      </c>
      <c r="C32" s="16"/>
      <c r="D32" s="595">
        <f>A2.7.1!L6/1000</f>
        <v>13.67988867</v>
      </c>
    </row>
    <row r="33" spans="2:4" x14ac:dyDescent="0.2">
      <c r="B33" s="145" t="str">
        <f>A2.7.1!D9</f>
        <v>Medical expenses (disabled)</v>
      </c>
      <c r="C33" s="16"/>
      <c r="D33" s="595">
        <f>A2.7.1!L9/1000</f>
        <v>2.1224801520000001</v>
      </c>
    </row>
    <row r="34" spans="2:4" x14ac:dyDescent="0.2">
      <c r="B34" s="145" t="str">
        <f>A2.7.1!D12</f>
        <v>Travel expenses - actual business cost</v>
      </c>
      <c r="C34" s="16"/>
      <c r="D34" s="595">
        <f>A2.7.1!L12/1000</f>
        <v>1.109215332</v>
      </c>
    </row>
    <row r="35" spans="2:4" x14ac:dyDescent="0.2">
      <c r="B35" s="145" t="s">
        <v>324</v>
      </c>
      <c r="C35" s="16"/>
      <c r="D35" s="595">
        <f>D36-SUM(D29:D34)</f>
        <v>9.7340870010000486</v>
      </c>
    </row>
    <row r="36" spans="2:4" x14ac:dyDescent="0.2">
      <c r="B36" s="593" t="s">
        <v>8</v>
      </c>
      <c r="C36" s="458"/>
      <c r="D36" s="596">
        <f>A2.7.1!L19/1000</f>
        <v>132.73907000400004</v>
      </c>
    </row>
  </sheetData>
  <sortState ref="C35:E43">
    <sortCondition descending="1" ref="E35:E43"/>
  </sortState>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tint="0.79998168889431442"/>
    <pageSetUpPr fitToPage="1"/>
  </sheetPr>
  <dimension ref="B1:R50"/>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6.28515625" style="2" customWidth="1"/>
    <col min="5" max="7" width="9.28515625" style="2" customWidth="1"/>
    <col min="8" max="8" width="9.28515625" style="14" customWidth="1"/>
    <col min="9" max="16" width="9.28515625" style="6" customWidth="1"/>
    <col min="17" max="16384" width="9.140625" style="10"/>
  </cols>
  <sheetData>
    <row r="1" spans="2:18" s="8" customFormat="1" ht="15" customHeight="1" x14ac:dyDescent="0.2">
      <c r="B1" s="439" t="s">
        <v>390</v>
      </c>
      <c r="C1" s="311"/>
      <c r="D1" s="311"/>
      <c r="E1" s="355"/>
      <c r="F1" s="355"/>
      <c r="G1" s="70"/>
      <c r="H1" s="61"/>
      <c r="I1" s="4"/>
      <c r="J1" s="5"/>
      <c r="K1" s="4"/>
      <c r="L1" s="4"/>
      <c r="M1" s="4"/>
      <c r="N1" s="4"/>
      <c r="O1" s="4"/>
      <c r="P1" s="4"/>
    </row>
    <row r="2" spans="2:18" s="8" customFormat="1" ht="15" customHeight="1" x14ac:dyDescent="0.2">
      <c r="B2" s="463"/>
      <c r="C2" s="464" t="s">
        <v>168</v>
      </c>
      <c r="D2" s="465"/>
      <c r="E2" s="466" t="s">
        <v>576</v>
      </c>
      <c r="F2" s="467"/>
      <c r="G2" s="468"/>
      <c r="H2" s="469" t="s">
        <v>577</v>
      </c>
      <c r="I2" s="467"/>
      <c r="J2" s="468"/>
      <c r="K2" s="469" t="s">
        <v>578</v>
      </c>
      <c r="L2" s="467"/>
      <c r="M2" s="468"/>
      <c r="N2" s="469" t="s">
        <v>579</v>
      </c>
      <c r="O2" s="467"/>
      <c r="P2" s="468"/>
      <c r="R2" s="285"/>
    </row>
    <row r="3" spans="2:18" ht="38.1" customHeight="1" x14ac:dyDescent="0.2">
      <c r="B3" s="470"/>
      <c r="C3" s="1028" t="s">
        <v>90</v>
      </c>
      <c r="D3" s="1028"/>
      <c r="E3" s="471" t="s">
        <v>17</v>
      </c>
      <c r="F3" s="472" t="s">
        <v>67</v>
      </c>
      <c r="G3" s="473" t="s">
        <v>68</v>
      </c>
      <c r="H3" s="472" t="s">
        <v>17</v>
      </c>
      <c r="I3" s="472" t="s">
        <v>67</v>
      </c>
      <c r="J3" s="473" t="s">
        <v>68</v>
      </c>
      <c r="K3" s="472" t="s">
        <v>17</v>
      </c>
      <c r="L3" s="472" t="s">
        <v>67</v>
      </c>
      <c r="M3" s="473" t="s">
        <v>68</v>
      </c>
      <c r="N3" s="472" t="s">
        <v>17</v>
      </c>
      <c r="O3" s="472" t="s">
        <v>67</v>
      </c>
      <c r="P3" s="473" t="s">
        <v>68</v>
      </c>
      <c r="R3" s="159"/>
    </row>
    <row r="4" spans="2:18" ht="13.35" customHeight="1" x14ac:dyDescent="0.2">
      <c r="B4" s="48"/>
      <c r="C4" s="16" t="s">
        <v>18</v>
      </c>
      <c r="D4" s="16" t="s">
        <v>43</v>
      </c>
      <c r="E4" s="457">
        <v>88981</v>
      </c>
      <c r="F4" s="15">
        <v>-20026.975200000001</v>
      </c>
      <c r="G4" s="24">
        <v>2.7179850000000001</v>
      </c>
      <c r="H4" s="15">
        <v>90962</v>
      </c>
      <c r="I4" s="15">
        <v>-21200.19843</v>
      </c>
      <c r="J4" s="24">
        <v>1.1749810000000001</v>
      </c>
      <c r="K4" s="15">
        <v>85231</v>
      </c>
      <c r="L4" s="15">
        <v>-21608.310288000001</v>
      </c>
      <c r="M4" s="24">
        <v>2.1650209999999999</v>
      </c>
      <c r="N4" s="15">
        <v>75011</v>
      </c>
      <c r="O4" s="15">
        <v>-20778.590387</v>
      </c>
      <c r="P4" s="24">
        <v>4.9942469999999997</v>
      </c>
    </row>
    <row r="5" spans="2:18" s="50" customFormat="1" ht="13.35" customHeight="1" x14ac:dyDescent="0.2">
      <c r="B5" s="48"/>
      <c r="C5" s="16" t="s">
        <v>19</v>
      </c>
      <c r="D5" s="49" t="s">
        <v>129</v>
      </c>
      <c r="E5" s="457">
        <v>227197</v>
      </c>
      <c r="F5" s="15">
        <v>0</v>
      </c>
      <c r="G5" s="24">
        <v>6.1792170000000004</v>
      </c>
      <c r="H5" s="15">
        <v>240447</v>
      </c>
      <c r="I5" s="15">
        <v>0</v>
      </c>
      <c r="J5" s="24">
        <v>5.7727259999999996</v>
      </c>
      <c r="K5" s="15">
        <v>186386</v>
      </c>
      <c r="L5" s="15">
        <v>0</v>
      </c>
      <c r="M5" s="24">
        <v>1.8919010000000001</v>
      </c>
      <c r="N5" s="15">
        <v>137106</v>
      </c>
      <c r="O5" s="15">
        <v>0</v>
      </c>
      <c r="P5" s="24">
        <v>0.582874</v>
      </c>
      <c r="R5" s="159"/>
    </row>
    <row r="6" spans="2:18" ht="13.35" customHeight="1" x14ac:dyDescent="0.2">
      <c r="B6" s="48"/>
      <c r="C6" s="16" t="s">
        <v>20</v>
      </c>
      <c r="D6" s="16" t="s">
        <v>44</v>
      </c>
      <c r="E6" s="457">
        <v>176075</v>
      </c>
      <c r="F6" s="15">
        <v>1729.334327</v>
      </c>
      <c r="G6" s="24">
        <v>2.4479310000000001</v>
      </c>
      <c r="H6" s="15">
        <v>201109</v>
      </c>
      <c r="I6" s="15">
        <v>1946.4714289999999</v>
      </c>
      <c r="J6" s="24">
        <v>4.074281</v>
      </c>
      <c r="K6" s="15">
        <v>211572</v>
      </c>
      <c r="L6" s="15">
        <v>2087.9401170000001</v>
      </c>
      <c r="M6" s="24">
        <v>3.1116969999999999</v>
      </c>
      <c r="N6" s="15">
        <v>199569</v>
      </c>
      <c r="O6" s="15">
        <v>1918.6932730000001</v>
      </c>
      <c r="P6" s="24">
        <v>2.0700720000000001</v>
      </c>
      <c r="R6" s="159"/>
    </row>
    <row r="7" spans="2:18" ht="13.35" customHeight="1" x14ac:dyDescent="0.2">
      <c r="B7" s="48"/>
      <c r="C7" s="16" t="s">
        <v>21</v>
      </c>
      <c r="D7" s="16" t="s">
        <v>45</v>
      </c>
      <c r="E7" s="457">
        <v>98770</v>
      </c>
      <c r="F7" s="15">
        <v>2485.7968019999998</v>
      </c>
      <c r="G7" s="24">
        <v>3.3275329999999999</v>
      </c>
      <c r="H7" s="15">
        <v>106458</v>
      </c>
      <c r="I7" s="15">
        <v>2683.8701700000001</v>
      </c>
      <c r="J7" s="24">
        <v>2.3131889999999999</v>
      </c>
      <c r="K7" s="15">
        <v>114868</v>
      </c>
      <c r="L7" s="15">
        <v>2887.2726870000001</v>
      </c>
      <c r="M7" s="24">
        <v>2.9360780000000002</v>
      </c>
      <c r="N7" s="15">
        <v>99638</v>
      </c>
      <c r="O7" s="15">
        <v>2506.496678</v>
      </c>
      <c r="P7" s="24">
        <v>2.1071010000000001</v>
      </c>
      <c r="R7" s="21"/>
    </row>
    <row r="8" spans="2:18" ht="13.35" customHeight="1" x14ac:dyDescent="0.2">
      <c r="B8" s="48"/>
      <c r="C8" s="16" t="s">
        <v>22</v>
      </c>
      <c r="D8" s="16" t="s">
        <v>46</v>
      </c>
      <c r="E8" s="457">
        <v>118331</v>
      </c>
      <c r="F8" s="15">
        <v>4173.7548999999999</v>
      </c>
      <c r="G8" s="24">
        <v>4.2171510000000003</v>
      </c>
      <c r="H8" s="15">
        <v>121643</v>
      </c>
      <c r="I8" s="15">
        <v>4272.3389930000003</v>
      </c>
      <c r="J8" s="24">
        <v>4.2691689999999998</v>
      </c>
      <c r="K8" s="15">
        <v>129057</v>
      </c>
      <c r="L8" s="15">
        <v>4538.5872230000004</v>
      </c>
      <c r="M8" s="24">
        <v>3.7070319999999999</v>
      </c>
      <c r="N8" s="15">
        <v>112841</v>
      </c>
      <c r="O8" s="15">
        <v>3963.0740169999999</v>
      </c>
      <c r="P8" s="24">
        <v>2.8093900000000001</v>
      </c>
    </row>
    <row r="9" spans="2:18" ht="13.35" customHeight="1" x14ac:dyDescent="0.2">
      <c r="B9" s="48"/>
      <c r="C9" s="16" t="s">
        <v>23</v>
      </c>
      <c r="D9" s="16" t="s">
        <v>47</v>
      </c>
      <c r="E9" s="457">
        <v>178934</v>
      </c>
      <c r="F9" s="15">
        <v>8099.0153929999997</v>
      </c>
      <c r="G9" s="24">
        <v>27.687366000000001</v>
      </c>
      <c r="H9" s="15">
        <v>147349</v>
      </c>
      <c r="I9" s="15">
        <v>6682.5316249999996</v>
      </c>
      <c r="J9" s="24">
        <v>6.0591270000000002</v>
      </c>
      <c r="K9" s="15">
        <v>147145</v>
      </c>
      <c r="L9" s="15">
        <v>6654.4102210000001</v>
      </c>
      <c r="M9" s="24">
        <v>4.3773619999999998</v>
      </c>
      <c r="N9" s="15">
        <v>132423</v>
      </c>
      <c r="O9" s="15">
        <v>5977.9510700000001</v>
      </c>
      <c r="P9" s="24">
        <v>3.4383490000000001</v>
      </c>
    </row>
    <row r="10" spans="2:18" s="50" customFormat="1" ht="13.35" customHeight="1" x14ac:dyDescent="0.2">
      <c r="B10" s="48"/>
      <c r="C10" s="16" t="s">
        <v>24</v>
      </c>
      <c r="D10" s="16" t="s">
        <v>48</v>
      </c>
      <c r="E10" s="457">
        <v>187135</v>
      </c>
      <c r="F10" s="15">
        <v>10348.978126</v>
      </c>
      <c r="G10" s="24">
        <v>287.074746</v>
      </c>
      <c r="H10" s="15">
        <v>216158</v>
      </c>
      <c r="I10" s="15">
        <v>11916.414532000001</v>
      </c>
      <c r="J10" s="24">
        <v>64.743679</v>
      </c>
      <c r="K10" s="15">
        <v>212475</v>
      </c>
      <c r="L10" s="15">
        <v>11785.794431</v>
      </c>
      <c r="M10" s="24">
        <v>23.059533999999999</v>
      </c>
      <c r="N10" s="15">
        <v>177770</v>
      </c>
      <c r="O10" s="15">
        <v>9900.7279849999995</v>
      </c>
      <c r="P10" s="24">
        <v>4.6417570000000001</v>
      </c>
    </row>
    <row r="11" spans="2:18" s="1" customFormat="1" ht="13.35" customHeight="1" x14ac:dyDescent="0.2">
      <c r="B11" s="26"/>
      <c r="C11" s="16" t="s">
        <v>25</v>
      </c>
      <c r="D11" s="16" t="s">
        <v>49</v>
      </c>
      <c r="E11" s="457">
        <v>208239</v>
      </c>
      <c r="F11" s="15">
        <v>13538.392188</v>
      </c>
      <c r="G11" s="24">
        <v>647.72183600000005</v>
      </c>
      <c r="H11" s="15">
        <v>235672</v>
      </c>
      <c r="I11" s="15">
        <v>15355.888787</v>
      </c>
      <c r="J11" s="24">
        <v>427.21659899999997</v>
      </c>
      <c r="K11" s="15">
        <v>225454</v>
      </c>
      <c r="L11" s="15">
        <v>14678.137011000001</v>
      </c>
      <c r="M11" s="24">
        <v>303.19089700000001</v>
      </c>
      <c r="N11" s="15">
        <v>191493</v>
      </c>
      <c r="O11" s="15">
        <v>12472.604918000001</v>
      </c>
      <c r="P11" s="24">
        <v>170.69125199999999</v>
      </c>
    </row>
    <row r="12" spans="2:18" s="1" customFormat="1" ht="13.35" customHeight="1" x14ac:dyDescent="0.2">
      <c r="B12" s="26"/>
      <c r="C12" s="16" t="s">
        <v>26</v>
      </c>
      <c r="D12" s="16" t="s">
        <v>50</v>
      </c>
      <c r="E12" s="457">
        <v>206123</v>
      </c>
      <c r="F12" s="15">
        <v>15453.299749</v>
      </c>
      <c r="G12" s="24">
        <v>978.172551</v>
      </c>
      <c r="H12" s="15">
        <v>230119</v>
      </c>
      <c r="I12" s="15">
        <v>17258.592788000002</v>
      </c>
      <c r="J12" s="24">
        <v>786.36748899999998</v>
      </c>
      <c r="K12" s="15">
        <v>256137</v>
      </c>
      <c r="L12" s="15">
        <v>19196.633086000002</v>
      </c>
      <c r="M12" s="24">
        <v>765.95355300000006</v>
      </c>
      <c r="N12" s="15">
        <v>221274</v>
      </c>
      <c r="O12" s="15">
        <v>16624.509947999999</v>
      </c>
      <c r="P12" s="24">
        <v>565.32087899999999</v>
      </c>
    </row>
    <row r="13" spans="2:18" s="1" customFormat="1" ht="13.35" customHeight="1" x14ac:dyDescent="0.2">
      <c r="B13" s="26"/>
      <c r="C13" s="27" t="s">
        <v>27</v>
      </c>
      <c r="D13" s="27" t="s">
        <v>51</v>
      </c>
      <c r="E13" s="457">
        <v>198492</v>
      </c>
      <c r="F13" s="15">
        <v>16868.996064999999</v>
      </c>
      <c r="G13" s="24">
        <v>1318.1029349999999</v>
      </c>
      <c r="H13" s="15">
        <v>216692</v>
      </c>
      <c r="I13" s="15">
        <v>18412.951185000002</v>
      </c>
      <c r="J13" s="24">
        <v>1099.3642850000001</v>
      </c>
      <c r="K13" s="15">
        <v>230181</v>
      </c>
      <c r="L13" s="15">
        <v>19568.391428999999</v>
      </c>
      <c r="M13" s="24">
        <v>1057.623014</v>
      </c>
      <c r="N13" s="15">
        <v>236887</v>
      </c>
      <c r="O13" s="15">
        <v>20104.086587999998</v>
      </c>
      <c r="P13" s="24">
        <v>988.95043799999996</v>
      </c>
    </row>
    <row r="14" spans="2:18" s="1" customFormat="1" ht="13.35" customHeight="1" x14ac:dyDescent="0.2">
      <c r="B14" s="26"/>
      <c r="C14" s="27" t="s">
        <v>28</v>
      </c>
      <c r="D14" s="27" t="s">
        <v>52</v>
      </c>
      <c r="E14" s="457">
        <v>201123</v>
      </c>
      <c r="F14" s="15">
        <v>19132.872029999999</v>
      </c>
      <c r="G14" s="24">
        <v>1713.3507219999999</v>
      </c>
      <c r="H14" s="15">
        <v>206907</v>
      </c>
      <c r="I14" s="15">
        <v>19644.058746999999</v>
      </c>
      <c r="J14" s="24">
        <v>1438.240029</v>
      </c>
      <c r="K14" s="15">
        <v>203733</v>
      </c>
      <c r="L14" s="15">
        <v>19352.36061</v>
      </c>
      <c r="M14" s="24">
        <v>1307.4715530000001</v>
      </c>
      <c r="N14" s="15">
        <v>216851</v>
      </c>
      <c r="O14" s="15">
        <v>20581.268146999999</v>
      </c>
      <c r="P14" s="24">
        <v>1265.526965</v>
      </c>
    </row>
    <row r="15" spans="2:18" customFormat="1" ht="13.35" customHeight="1" x14ac:dyDescent="0.2">
      <c r="B15" s="26"/>
      <c r="C15" s="27" t="s">
        <v>29</v>
      </c>
      <c r="D15" s="27" t="s">
        <v>53</v>
      </c>
      <c r="E15" s="457">
        <v>211006</v>
      </c>
      <c r="F15" s="15">
        <v>22137.769688</v>
      </c>
      <c r="G15" s="24">
        <v>2180.938517</v>
      </c>
      <c r="H15" s="15">
        <v>201245</v>
      </c>
      <c r="I15" s="15">
        <v>21142.417291000002</v>
      </c>
      <c r="J15" s="24">
        <v>1772.0158449999999</v>
      </c>
      <c r="K15" s="15">
        <v>197306</v>
      </c>
      <c r="L15" s="15">
        <v>20696.961412000001</v>
      </c>
      <c r="M15" s="24">
        <v>1627.150382</v>
      </c>
      <c r="N15" s="15">
        <v>192335</v>
      </c>
      <c r="O15" s="15">
        <v>20189.829980999999</v>
      </c>
      <c r="P15" s="24">
        <v>1469.0220280000001</v>
      </c>
    </row>
    <row r="16" spans="2:18" customFormat="1" ht="13.35" customHeight="1" x14ac:dyDescent="0.2">
      <c r="B16" s="26"/>
      <c r="C16" s="27" t="s">
        <v>30</v>
      </c>
      <c r="D16" s="27" t="s">
        <v>54</v>
      </c>
      <c r="E16" s="457">
        <v>196501</v>
      </c>
      <c r="F16" s="15">
        <v>22610.488432999999</v>
      </c>
      <c r="G16" s="24">
        <v>2392.574568</v>
      </c>
      <c r="H16" s="15">
        <v>210738</v>
      </c>
      <c r="I16" s="15">
        <v>24244.298581999999</v>
      </c>
      <c r="J16" s="24">
        <v>2245.5027260000002</v>
      </c>
      <c r="K16" s="15">
        <v>192607</v>
      </c>
      <c r="L16" s="15">
        <v>22177.217877999999</v>
      </c>
      <c r="M16" s="24">
        <v>1948.002254</v>
      </c>
      <c r="N16" s="15">
        <v>186247</v>
      </c>
      <c r="O16" s="15">
        <v>21412.779137000001</v>
      </c>
      <c r="P16" s="24">
        <v>1767.67479</v>
      </c>
    </row>
    <row r="17" spans="2:16" customFormat="1" ht="13.35" customHeight="1" x14ac:dyDescent="0.2">
      <c r="B17" s="26"/>
      <c r="C17" s="27" t="s">
        <v>31</v>
      </c>
      <c r="D17" s="27" t="s">
        <v>55</v>
      </c>
      <c r="E17" s="457">
        <v>210771</v>
      </c>
      <c r="F17" s="15">
        <v>26371.569129</v>
      </c>
      <c r="G17" s="24">
        <v>3006.4350770000001</v>
      </c>
      <c r="H17" s="15">
        <v>188074</v>
      </c>
      <c r="I17" s="15">
        <v>23499.631026999999</v>
      </c>
      <c r="J17" s="24">
        <v>2339.6717509999999</v>
      </c>
      <c r="K17" s="15">
        <v>195541</v>
      </c>
      <c r="L17" s="15">
        <v>24439.016284000001</v>
      </c>
      <c r="M17" s="24">
        <v>2333.240217</v>
      </c>
      <c r="N17" s="15">
        <v>178296</v>
      </c>
      <c r="O17" s="15">
        <v>22299.142732</v>
      </c>
      <c r="P17" s="24">
        <v>2022.9435759999999</v>
      </c>
    </row>
    <row r="18" spans="2:16" customFormat="1" ht="13.35" customHeight="1" x14ac:dyDescent="0.2">
      <c r="B18" s="26"/>
      <c r="C18" s="27" t="s">
        <v>32</v>
      </c>
      <c r="D18" s="27" t="s">
        <v>56</v>
      </c>
      <c r="E18" s="457">
        <v>212501</v>
      </c>
      <c r="F18" s="15">
        <v>28655.716408</v>
      </c>
      <c r="G18" s="24">
        <v>3549.870598</v>
      </c>
      <c r="H18" s="15">
        <v>174596</v>
      </c>
      <c r="I18" s="15">
        <v>23562.362626999999</v>
      </c>
      <c r="J18" s="24">
        <v>2528.1491500000002</v>
      </c>
      <c r="K18" s="15">
        <v>179243</v>
      </c>
      <c r="L18" s="15">
        <v>24186.375445000001</v>
      </c>
      <c r="M18" s="24">
        <v>2460.9547029999999</v>
      </c>
      <c r="N18" s="15">
        <v>192425</v>
      </c>
      <c r="O18" s="15">
        <v>25972.140674999999</v>
      </c>
      <c r="P18" s="24">
        <v>2540.5785070000002</v>
      </c>
    </row>
    <row r="19" spans="2:16" customFormat="1" ht="13.35" customHeight="1" x14ac:dyDescent="0.2">
      <c r="B19" s="26"/>
      <c r="C19" s="27" t="s">
        <v>33</v>
      </c>
      <c r="D19" s="27" t="s">
        <v>57</v>
      </c>
      <c r="E19" s="457">
        <v>172902</v>
      </c>
      <c r="F19" s="15">
        <v>25058.012852</v>
      </c>
      <c r="G19" s="24">
        <v>3316.4918069999999</v>
      </c>
      <c r="H19" s="15">
        <v>183306</v>
      </c>
      <c r="I19" s="15">
        <v>26602.75229</v>
      </c>
      <c r="J19" s="24">
        <v>3125.5494309999999</v>
      </c>
      <c r="K19" s="15">
        <v>168124</v>
      </c>
      <c r="L19" s="15">
        <v>24379.156697999999</v>
      </c>
      <c r="M19" s="24">
        <v>2674.8758029999999</v>
      </c>
      <c r="N19" s="15">
        <v>168142</v>
      </c>
      <c r="O19" s="15">
        <v>24359.547876000001</v>
      </c>
      <c r="P19" s="24">
        <v>2518.8062690000002</v>
      </c>
    </row>
    <row r="20" spans="2:16" customFormat="1" ht="13.35" customHeight="1" x14ac:dyDescent="0.2">
      <c r="B20" s="26"/>
      <c r="C20" s="27" t="s">
        <v>34</v>
      </c>
      <c r="D20" s="75" t="s">
        <v>58</v>
      </c>
      <c r="E20" s="457">
        <v>639086</v>
      </c>
      <c r="F20" s="15">
        <v>110104.219054</v>
      </c>
      <c r="G20" s="24">
        <v>16624.286446999999</v>
      </c>
      <c r="H20" s="15">
        <v>725211</v>
      </c>
      <c r="I20" s="15">
        <v>125314.171126</v>
      </c>
      <c r="J20" s="24">
        <v>17399.012217</v>
      </c>
      <c r="K20" s="15">
        <v>756442</v>
      </c>
      <c r="L20" s="15">
        <v>131168.357479</v>
      </c>
      <c r="M20" s="24">
        <v>17450.257861999999</v>
      </c>
      <c r="N20" s="15">
        <v>729651</v>
      </c>
      <c r="O20" s="15">
        <v>127415.62052500001</v>
      </c>
      <c r="P20" s="24">
        <v>16144.140848999999</v>
      </c>
    </row>
    <row r="21" spans="2:16" customFormat="1" ht="13.35" customHeight="1" x14ac:dyDescent="0.2">
      <c r="B21" s="26"/>
      <c r="C21" s="27" t="s">
        <v>35</v>
      </c>
      <c r="D21" s="27" t="s">
        <v>59</v>
      </c>
      <c r="E21" s="457">
        <v>560320</v>
      </c>
      <c r="F21" s="15">
        <v>135869.585735</v>
      </c>
      <c r="G21" s="24">
        <v>25650.487218999999</v>
      </c>
      <c r="H21" s="15">
        <v>636571</v>
      </c>
      <c r="I21" s="15">
        <v>153768.70304200001</v>
      </c>
      <c r="J21" s="24">
        <v>27226.255981999999</v>
      </c>
      <c r="K21" s="15">
        <v>729177</v>
      </c>
      <c r="L21" s="15">
        <v>175858.52286699999</v>
      </c>
      <c r="M21" s="24">
        <v>30015.576781</v>
      </c>
      <c r="N21" s="15">
        <v>800390</v>
      </c>
      <c r="O21" s="15">
        <v>193608.550147</v>
      </c>
      <c r="P21" s="24">
        <v>31818.404936999999</v>
      </c>
    </row>
    <row r="22" spans="2:16" customFormat="1" ht="13.35" customHeight="1" x14ac:dyDescent="0.2">
      <c r="B22" s="26"/>
      <c r="C22" s="27" t="s">
        <v>36</v>
      </c>
      <c r="D22" s="27" t="s">
        <v>60</v>
      </c>
      <c r="E22" s="457">
        <v>251633</v>
      </c>
      <c r="F22" s="15">
        <v>86587.302865000005</v>
      </c>
      <c r="G22" s="24">
        <v>19895.603089</v>
      </c>
      <c r="H22" s="15">
        <v>275869</v>
      </c>
      <c r="I22" s="15">
        <v>94816.273963</v>
      </c>
      <c r="J22" s="24">
        <v>20946.263511000001</v>
      </c>
      <c r="K22" s="15">
        <v>315623</v>
      </c>
      <c r="L22" s="15">
        <v>108814.453234</v>
      </c>
      <c r="M22" s="24">
        <v>23347.284402000001</v>
      </c>
      <c r="N22" s="15">
        <v>338943</v>
      </c>
      <c r="O22" s="15">
        <v>116884.06223700001</v>
      </c>
      <c r="P22" s="24">
        <v>24201.800188000001</v>
      </c>
    </row>
    <row r="23" spans="2:16" customFormat="1" ht="13.35" customHeight="1" x14ac:dyDescent="0.2">
      <c r="B23" s="26"/>
      <c r="C23" s="27" t="s">
        <v>37</v>
      </c>
      <c r="D23" s="27" t="s">
        <v>61</v>
      </c>
      <c r="E23" s="457">
        <v>131755</v>
      </c>
      <c r="F23" s="15">
        <v>58688.947162999997</v>
      </c>
      <c r="G23" s="24">
        <v>15209.846068000001</v>
      </c>
      <c r="H23" s="15">
        <v>139385</v>
      </c>
      <c r="I23" s="15">
        <v>62086.147491999996</v>
      </c>
      <c r="J23" s="24">
        <v>15668.594047000001</v>
      </c>
      <c r="K23" s="15">
        <v>162375</v>
      </c>
      <c r="L23" s="15">
        <v>72207.710573999997</v>
      </c>
      <c r="M23" s="24">
        <v>17762.421853</v>
      </c>
      <c r="N23" s="15">
        <v>182191</v>
      </c>
      <c r="O23" s="15">
        <v>81048.971416</v>
      </c>
      <c r="P23" s="24">
        <v>19393.981502999999</v>
      </c>
    </row>
    <row r="24" spans="2:16" customFormat="1" ht="13.35" customHeight="1" x14ac:dyDescent="0.2">
      <c r="B24" s="26"/>
      <c r="C24" s="27" t="s">
        <v>38</v>
      </c>
      <c r="D24" s="27" t="s">
        <v>62</v>
      </c>
      <c r="E24" s="457">
        <v>134230</v>
      </c>
      <c r="F24" s="15">
        <v>80507.554032</v>
      </c>
      <c r="G24" s="24">
        <v>23380.407195</v>
      </c>
      <c r="H24" s="15">
        <v>149365</v>
      </c>
      <c r="I24" s="15">
        <v>89427.013779999994</v>
      </c>
      <c r="J24" s="24">
        <v>25672.570969</v>
      </c>
      <c r="K24" s="15">
        <v>175673</v>
      </c>
      <c r="L24" s="15">
        <v>105412.843551</v>
      </c>
      <c r="M24" s="24">
        <v>29704.826177999999</v>
      </c>
      <c r="N24" s="15">
        <v>195574</v>
      </c>
      <c r="O24" s="15">
        <v>117766.293391</v>
      </c>
      <c r="P24" s="24">
        <v>32547.202859000001</v>
      </c>
    </row>
    <row r="25" spans="2:16" customFormat="1" ht="13.35" customHeight="1" x14ac:dyDescent="0.2">
      <c r="B25" s="26"/>
      <c r="C25" s="27" t="s">
        <v>39</v>
      </c>
      <c r="D25" s="27" t="s">
        <v>63</v>
      </c>
      <c r="E25" s="457">
        <v>45787</v>
      </c>
      <c r="F25" s="15">
        <v>39241.799713</v>
      </c>
      <c r="G25" s="24">
        <v>12492.913113000001</v>
      </c>
      <c r="H25" s="15">
        <v>48224</v>
      </c>
      <c r="I25" s="15">
        <v>41285.809806999998</v>
      </c>
      <c r="J25" s="24">
        <v>13226.755877</v>
      </c>
      <c r="K25" s="15">
        <v>58260</v>
      </c>
      <c r="L25" s="15">
        <v>49855.208609000001</v>
      </c>
      <c r="M25" s="24">
        <v>15752.809464</v>
      </c>
      <c r="N25" s="15">
        <v>67779</v>
      </c>
      <c r="O25" s="15">
        <v>57965.932632999997</v>
      </c>
      <c r="P25" s="24">
        <v>18107.373006000002</v>
      </c>
    </row>
    <row r="26" spans="2:16" customFormat="1" ht="13.35" customHeight="1" x14ac:dyDescent="0.2">
      <c r="B26" s="26"/>
      <c r="C26" s="27" t="s">
        <v>40</v>
      </c>
      <c r="D26" s="27" t="s">
        <v>64</v>
      </c>
      <c r="E26" s="457">
        <v>42714</v>
      </c>
      <c r="F26" s="15">
        <v>56891.213678</v>
      </c>
      <c r="G26" s="24">
        <v>19523.635851999999</v>
      </c>
      <c r="H26" s="15">
        <v>42286</v>
      </c>
      <c r="I26" s="15">
        <v>56165.976423</v>
      </c>
      <c r="J26" s="24">
        <v>19589.679875999998</v>
      </c>
      <c r="K26" s="15">
        <v>51122</v>
      </c>
      <c r="L26" s="15">
        <v>67707.556398999994</v>
      </c>
      <c r="M26" s="24">
        <v>23404.824519999998</v>
      </c>
      <c r="N26" s="15">
        <v>58162</v>
      </c>
      <c r="O26" s="15">
        <v>77013.077101999996</v>
      </c>
      <c r="P26" s="24">
        <v>26495.078680999999</v>
      </c>
    </row>
    <row r="27" spans="2:16" customFormat="1" ht="13.35" customHeight="1" x14ac:dyDescent="0.2">
      <c r="B27" s="26"/>
      <c r="C27" s="27" t="s">
        <v>41</v>
      </c>
      <c r="D27" s="27" t="s">
        <v>65</v>
      </c>
      <c r="E27" s="457">
        <v>11885</v>
      </c>
      <c r="F27" s="15">
        <v>34105.155841</v>
      </c>
      <c r="G27" s="24">
        <v>12691.337169</v>
      </c>
      <c r="H27" s="15">
        <v>11305</v>
      </c>
      <c r="I27" s="15">
        <v>32296.479938</v>
      </c>
      <c r="J27" s="24">
        <v>12154.69317</v>
      </c>
      <c r="K27" s="15">
        <v>13429</v>
      </c>
      <c r="L27" s="15">
        <v>38188.288999999997</v>
      </c>
      <c r="M27" s="24">
        <v>14301.137706</v>
      </c>
      <c r="N27" s="15">
        <v>14670</v>
      </c>
      <c r="O27" s="15">
        <v>41974.515633000003</v>
      </c>
      <c r="P27" s="24">
        <v>15719.991722999999</v>
      </c>
    </row>
    <row r="28" spans="2:16" customFormat="1" ht="13.35" customHeight="1" x14ac:dyDescent="0.2">
      <c r="B28" s="26"/>
      <c r="C28" s="27" t="s">
        <v>42</v>
      </c>
      <c r="D28" s="27" t="s">
        <v>66</v>
      </c>
      <c r="E28" s="457">
        <v>2218</v>
      </c>
      <c r="F28" s="15">
        <v>19877.069516</v>
      </c>
      <c r="G28" s="24">
        <v>7735.185563</v>
      </c>
      <c r="H28" s="15">
        <v>1867</v>
      </c>
      <c r="I28" s="15">
        <v>16161.516116999999</v>
      </c>
      <c r="J28" s="24">
        <v>6391.1336899999997</v>
      </c>
      <c r="K28" s="15">
        <v>2199</v>
      </c>
      <c r="L28" s="15">
        <v>18549.701523</v>
      </c>
      <c r="M28" s="24">
        <v>7243.9772540000004</v>
      </c>
      <c r="N28" s="15">
        <v>2539</v>
      </c>
      <c r="O28" s="15">
        <v>22754.452055000002</v>
      </c>
      <c r="P28" s="24">
        <v>8910.2173750000002</v>
      </c>
    </row>
    <row r="29" spans="2:16" customFormat="1" ht="13.35" customHeight="1" x14ac:dyDescent="0.2">
      <c r="B29" s="461"/>
      <c r="C29" s="462" t="s">
        <v>8</v>
      </c>
      <c r="D29" s="458"/>
      <c r="E29" s="354">
        <f t="shared" ref="E29:P29" si="0">SUM(E4:E28)</f>
        <v>4712709</v>
      </c>
      <c r="F29" s="459">
        <f>SUM(F4:F28)</f>
        <v>818509.868487</v>
      </c>
      <c r="G29" s="460">
        <f t="shared" si="0"/>
        <v>172641.01225500001</v>
      </c>
      <c r="H29" s="459">
        <f t="shared" si="0"/>
        <v>5001558</v>
      </c>
      <c r="I29" s="459">
        <f t="shared" si="0"/>
        <v>867346.47333100007</v>
      </c>
      <c r="J29" s="460">
        <f t="shared" si="0"/>
        <v>174125.44379600001</v>
      </c>
      <c r="K29" s="459">
        <f t="shared" si="0"/>
        <v>5199360</v>
      </c>
      <c r="L29" s="459">
        <f t="shared" si="0"/>
        <v>962782.58747999999</v>
      </c>
      <c r="M29" s="460">
        <f t="shared" si="0"/>
        <v>193502.82702099998</v>
      </c>
      <c r="N29" s="459">
        <f t="shared" si="0"/>
        <v>5108207</v>
      </c>
      <c r="O29" s="459">
        <f t="shared" si="0"/>
        <v>1023935.7377770001</v>
      </c>
      <c r="P29" s="460">
        <f t="shared" si="0"/>
        <v>206668.34961500001</v>
      </c>
    </row>
    <row r="30" spans="2:16" customFormat="1" ht="13.35" customHeight="1" x14ac:dyDescent="0.2">
      <c r="B30" s="26"/>
      <c r="C30" s="27"/>
      <c r="D30" s="16" t="s">
        <v>234</v>
      </c>
      <c r="E30" s="457">
        <f t="shared" ref="E30:P30" si="1">SUM(E4:E5)</f>
        <v>316178</v>
      </c>
      <c r="F30" s="15">
        <f t="shared" si="1"/>
        <v>-20026.975200000001</v>
      </c>
      <c r="G30" s="24">
        <f t="shared" si="1"/>
        <v>8.8972020000000001</v>
      </c>
      <c r="H30" s="15">
        <f t="shared" si="1"/>
        <v>331409</v>
      </c>
      <c r="I30" s="15">
        <f t="shared" si="1"/>
        <v>-21200.19843</v>
      </c>
      <c r="J30" s="24">
        <f t="shared" si="1"/>
        <v>6.9477069999999994</v>
      </c>
      <c r="K30" s="15">
        <f t="shared" si="1"/>
        <v>271617</v>
      </c>
      <c r="L30" s="15">
        <f t="shared" si="1"/>
        <v>-21608.310288000001</v>
      </c>
      <c r="M30" s="24">
        <f t="shared" si="1"/>
        <v>4.0569220000000001</v>
      </c>
      <c r="N30" s="15">
        <f t="shared" si="1"/>
        <v>212117</v>
      </c>
      <c r="O30" s="15">
        <f t="shared" si="1"/>
        <v>-20778.590387</v>
      </c>
      <c r="P30" s="24">
        <f t="shared" si="1"/>
        <v>5.577121</v>
      </c>
    </row>
    <row r="31" spans="2:16" customFormat="1" ht="13.35" customHeight="1" x14ac:dyDescent="0.2">
      <c r="B31" s="26"/>
      <c r="C31" s="27"/>
      <c r="D31" s="16" t="s">
        <v>235</v>
      </c>
      <c r="E31" s="457">
        <f t="shared" ref="E31:P31" si="2">SUM(E6:E10)</f>
        <v>759245</v>
      </c>
      <c r="F31" s="15">
        <f t="shared" si="2"/>
        <v>26836.879547999997</v>
      </c>
      <c r="G31" s="24">
        <f t="shared" si="2"/>
        <v>324.754727</v>
      </c>
      <c r="H31" s="15">
        <f t="shared" si="2"/>
        <v>792717</v>
      </c>
      <c r="I31" s="15">
        <f t="shared" si="2"/>
        <v>27501.626749000003</v>
      </c>
      <c r="J31" s="24">
        <f t="shared" si="2"/>
        <v>81.459445000000002</v>
      </c>
      <c r="K31" s="15">
        <f t="shared" si="2"/>
        <v>815117</v>
      </c>
      <c r="L31" s="15">
        <f t="shared" si="2"/>
        <v>27954.004679000001</v>
      </c>
      <c r="M31" s="24">
        <f t="shared" si="2"/>
        <v>37.191702999999997</v>
      </c>
      <c r="N31" s="15">
        <f t="shared" si="2"/>
        <v>722241</v>
      </c>
      <c r="O31" s="15">
        <f t="shared" si="2"/>
        <v>24266.943023</v>
      </c>
      <c r="P31" s="24">
        <f t="shared" si="2"/>
        <v>15.066669000000001</v>
      </c>
    </row>
    <row r="32" spans="2:16" customFormat="1" ht="13.35" customHeight="1" x14ac:dyDescent="0.2">
      <c r="B32" s="26"/>
      <c r="C32" s="27"/>
      <c r="D32" s="16" t="s">
        <v>236</v>
      </c>
      <c r="E32" s="457">
        <f t="shared" ref="E32:P32" si="3">SUM(E11:E16)</f>
        <v>1221484</v>
      </c>
      <c r="F32" s="15">
        <f t="shared" si="3"/>
        <v>109741.818153</v>
      </c>
      <c r="G32" s="24">
        <f t="shared" si="3"/>
        <v>9230.8611290000008</v>
      </c>
      <c r="H32" s="15">
        <f t="shared" si="3"/>
        <v>1301373</v>
      </c>
      <c r="I32" s="15">
        <f t="shared" si="3"/>
        <v>116058.20738000001</v>
      </c>
      <c r="J32" s="24">
        <f t="shared" si="3"/>
        <v>7768.7069730000003</v>
      </c>
      <c r="K32" s="15">
        <f t="shared" si="3"/>
        <v>1305418</v>
      </c>
      <c r="L32" s="15">
        <f t="shared" si="3"/>
        <v>115669.701426</v>
      </c>
      <c r="M32" s="24">
        <f t="shared" si="3"/>
        <v>7009.3916529999997</v>
      </c>
      <c r="N32" s="15">
        <f t="shared" si="3"/>
        <v>1245087</v>
      </c>
      <c r="O32" s="15">
        <f t="shared" si="3"/>
        <v>111385.078719</v>
      </c>
      <c r="P32" s="24">
        <f t="shared" si="3"/>
        <v>6227.1863519999997</v>
      </c>
    </row>
    <row r="33" spans="2:16" customFormat="1" ht="13.35" customHeight="1" x14ac:dyDescent="0.2">
      <c r="B33" s="26"/>
      <c r="C33" s="27"/>
      <c r="D33" s="27" t="s">
        <v>399</v>
      </c>
      <c r="E33" s="457">
        <f>SUM(E17:E23)</f>
        <v>2178968</v>
      </c>
      <c r="F33" s="15">
        <f t="shared" ref="F33:P33" si="4">SUM(F17:F23)</f>
        <v>471335.35320599994</v>
      </c>
      <c r="G33" s="24">
        <f t="shared" si="4"/>
        <v>87253.020304999998</v>
      </c>
      <c r="H33" s="15">
        <f t="shared" si="4"/>
        <v>2323012</v>
      </c>
      <c r="I33" s="15">
        <f t="shared" si="4"/>
        <v>509650.04156700004</v>
      </c>
      <c r="J33" s="24">
        <f t="shared" si="4"/>
        <v>89233.496089000007</v>
      </c>
      <c r="K33" s="15">
        <f t="shared" si="4"/>
        <v>2506525</v>
      </c>
      <c r="L33" s="15">
        <f t="shared" si="4"/>
        <v>561053.59258100006</v>
      </c>
      <c r="M33" s="24">
        <f t="shared" si="4"/>
        <v>96044.611620999989</v>
      </c>
      <c r="N33" s="15">
        <f t="shared" si="4"/>
        <v>2590038</v>
      </c>
      <c r="O33" s="15">
        <f t="shared" si="4"/>
        <v>591588.03560800001</v>
      </c>
      <c r="P33" s="24">
        <f t="shared" si="4"/>
        <v>98640.65582900001</v>
      </c>
    </row>
    <row r="34" spans="2:16" customFormat="1" ht="13.35" customHeight="1" x14ac:dyDescent="0.2">
      <c r="B34" s="26"/>
      <c r="C34" s="27"/>
      <c r="D34" s="158" t="s">
        <v>401</v>
      </c>
      <c r="E34" s="457">
        <f>SUM(E24:E28)</f>
        <v>236834</v>
      </c>
      <c r="F34" s="15">
        <f t="shared" ref="F34:P34" si="5">SUM(F24:F28)</f>
        <v>230622.79277999999</v>
      </c>
      <c r="G34" s="24">
        <f t="shared" si="5"/>
        <v>75823.478892000014</v>
      </c>
      <c r="H34" s="15">
        <f t="shared" si="5"/>
        <v>253047</v>
      </c>
      <c r="I34" s="15">
        <f t="shared" si="5"/>
        <v>235336.796065</v>
      </c>
      <c r="J34" s="24">
        <f t="shared" si="5"/>
        <v>77034.833581999992</v>
      </c>
      <c r="K34" s="15">
        <f t="shared" si="5"/>
        <v>300683</v>
      </c>
      <c r="L34" s="15">
        <f t="shared" si="5"/>
        <v>279713.59908199997</v>
      </c>
      <c r="M34" s="24">
        <f t="shared" si="5"/>
        <v>90407.575121999995</v>
      </c>
      <c r="N34" s="15">
        <f t="shared" si="5"/>
        <v>338724</v>
      </c>
      <c r="O34" s="15">
        <f t="shared" si="5"/>
        <v>317474.27081399999</v>
      </c>
      <c r="P34" s="24">
        <f t="shared" si="5"/>
        <v>101779.863644</v>
      </c>
    </row>
    <row r="35" spans="2:16" customFormat="1" ht="13.35" customHeight="1" x14ac:dyDescent="0.2">
      <c r="B35" s="461"/>
      <c r="C35" s="462" t="s">
        <v>8</v>
      </c>
      <c r="D35" s="458"/>
      <c r="E35" s="354">
        <f t="shared" ref="E35:P35" si="6">SUM(E30:E34)</f>
        <v>4712709</v>
      </c>
      <c r="F35" s="459">
        <f t="shared" si="6"/>
        <v>818509.868487</v>
      </c>
      <c r="G35" s="460">
        <f t="shared" si="6"/>
        <v>172641.01225500001</v>
      </c>
      <c r="H35" s="459">
        <f t="shared" si="6"/>
        <v>5001558</v>
      </c>
      <c r="I35" s="459">
        <f t="shared" si="6"/>
        <v>867346.47333100007</v>
      </c>
      <c r="J35" s="460">
        <f t="shared" si="6"/>
        <v>174125.44379600001</v>
      </c>
      <c r="K35" s="459">
        <f t="shared" si="6"/>
        <v>5199360</v>
      </c>
      <c r="L35" s="459">
        <f t="shared" si="6"/>
        <v>962782.58747999999</v>
      </c>
      <c r="M35" s="460">
        <f t="shared" si="6"/>
        <v>193502.82702099998</v>
      </c>
      <c r="N35" s="459">
        <f t="shared" si="6"/>
        <v>5108207</v>
      </c>
      <c r="O35" s="459">
        <f t="shared" si="6"/>
        <v>1023935.7377770001</v>
      </c>
      <c r="P35" s="460">
        <f t="shared" si="6"/>
        <v>206668.34961500001</v>
      </c>
    </row>
    <row r="36" spans="2:16" customFormat="1" ht="13.35" customHeight="1" x14ac:dyDescent="0.2">
      <c r="B36" s="1"/>
      <c r="C36" s="29"/>
      <c r="D36" s="1"/>
      <c r="E36" s="1"/>
      <c r="F36" s="1"/>
      <c r="G36" s="1"/>
      <c r="H36" s="1"/>
      <c r="I36" s="1"/>
      <c r="J36" s="1"/>
      <c r="K36" s="1"/>
      <c r="L36" s="1"/>
      <c r="M36" s="1"/>
      <c r="N36" s="1"/>
      <c r="O36" s="1"/>
      <c r="P36" s="1"/>
    </row>
    <row r="37" spans="2:16" customFormat="1" ht="13.35" customHeight="1" x14ac:dyDescent="0.2">
      <c r="I37" s="352" t="s">
        <v>371</v>
      </c>
      <c r="J37" s="6"/>
    </row>
    <row r="38" spans="2:16" customFormat="1" ht="13.35" customHeight="1" x14ac:dyDescent="0.2">
      <c r="I38" s="6"/>
      <c r="J38" s="6"/>
    </row>
    <row r="39" spans="2:16" ht="13.35" customHeight="1" x14ac:dyDescent="0.2">
      <c r="C39"/>
      <c r="D39"/>
      <c r="E39"/>
      <c r="F39"/>
      <c r="G39"/>
      <c r="H39"/>
      <c r="I39" s="1"/>
      <c r="J39"/>
      <c r="K39"/>
      <c r="L39"/>
      <c r="M39"/>
      <c r="N39"/>
      <c r="O39"/>
      <c r="P39"/>
    </row>
    <row r="40" spans="2:16" ht="13.35" hidden="1" customHeight="1" x14ac:dyDescent="0.2">
      <c r="D40" s="120" t="s">
        <v>315</v>
      </c>
      <c r="E40" s="681"/>
      <c r="F40" s="682">
        <f>F35/E35*1000000</f>
        <v>173681.39396830995</v>
      </c>
      <c r="G40" s="682">
        <f>G35/E35*1000000</f>
        <v>36633.072879102023</v>
      </c>
      <c r="H40" s="122"/>
      <c r="I40" s="682">
        <f>I35/H35*1000000</f>
        <v>173415.25847166026</v>
      </c>
      <c r="J40" s="682">
        <f>J35/H35*1000000</f>
        <v>34814.24064181601</v>
      </c>
      <c r="K40" s="122"/>
      <c r="L40" s="682">
        <f>L35/K35*1000000</f>
        <v>185173.28815084932</v>
      </c>
      <c r="M40" s="682">
        <f>M35/K35*1000000</f>
        <v>37216.662631746978</v>
      </c>
      <c r="N40" s="122"/>
      <c r="O40" s="682">
        <f>O35/N35*1000000</f>
        <v>200449.14737734786</v>
      </c>
      <c r="P40" s="683">
        <f>P35/N35*1000000</f>
        <v>40458.099997709571</v>
      </c>
    </row>
    <row r="41" spans="2:16" ht="13.35" hidden="1" customHeight="1" x14ac:dyDescent="0.2">
      <c r="D41" s="128"/>
      <c r="E41" s="684"/>
      <c r="F41" s="684"/>
      <c r="G41" s="685">
        <f>G40/F40</f>
        <v>0.21092111274617087</v>
      </c>
      <c r="H41" s="166"/>
      <c r="I41" s="166"/>
      <c r="J41" s="685">
        <f>J40/I40</f>
        <v>0.20075650175561338</v>
      </c>
      <c r="K41" s="166"/>
      <c r="L41" s="166"/>
      <c r="M41" s="685">
        <f>M40/L40</f>
        <v>0.20098289015329709</v>
      </c>
      <c r="N41" s="166"/>
      <c r="O41" s="166"/>
      <c r="P41" s="686">
        <f>P40/O40</f>
        <v>0.20183722668346762</v>
      </c>
    </row>
    <row r="42" spans="2:16" ht="13.35" hidden="1" customHeight="1" x14ac:dyDescent="0.2">
      <c r="D42" s="128"/>
      <c r="E42" s="684"/>
      <c r="F42" s="684"/>
      <c r="G42" s="684"/>
      <c r="H42" s="166"/>
      <c r="I42" s="166"/>
      <c r="J42" s="166"/>
      <c r="K42" s="166"/>
      <c r="L42" s="166"/>
      <c r="M42" s="166"/>
      <c r="N42" s="166"/>
      <c r="O42" s="166"/>
      <c r="P42" s="167"/>
    </row>
    <row r="43" spans="2:16" ht="13.35" hidden="1" customHeight="1" x14ac:dyDescent="0.2">
      <c r="D43" s="124"/>
      <c r="E43" s="687"/>
      <c r="F43" s="687"/>
      <c r="G43" s="687"/>
      <c r="H43" s="168"/>
      <c r="I43" s="688">
        <f>I40/F40-1</f>
        <v>-1.5323201326806757E-3</v>
      </c>
      <c r="J43" s="688">
        <f>J40/G40-1</f>
        <v>-4.9650004608911669E-2</v>
      </c>
      <c r="K43" s="168"/>
      <c r="L43" s="688">
        <f>L40/I40-1</f>
        <v>6.7802739982713689E-2</v>
      </c>
      <c r="M43" s="688">
        <f>M40/J40-1</f>
        <v>6.9006876084075186E-2</v>
      </c>
      <c r="N43" s="168"/>
      <c r="O43" s="688">
        <f>O40/L40-1</f>
        <v>8.249493962679022E-2</v>
      </c>
      <c r="P43" s="689">
        <f>P40/M40-1</f>
        <v>8.7096400825514841E-2</v>
      </c>
    </row>
    <row r="44" spans="2:16" ht="13.35" hidden="1" customHeight="1" x14ac:dyDescent="0.2"/>
    <row r="45" spans="2:16" hidden="1" x14ac:dyDescent="0.2"/>
    <row r="46" spans="2:16" hidden="1" x14ac:dyDescent="0.2"/>
    <row r="47" spans="2:16" hidden="1" x14ac:dyDescent="0.2">
      <c r="D47" s="690" t="s">
        <v>402</v>
      </c>
      <c r="E47" s="691"/>
      <c r="F47" s="692"/>
      <c r="G47" s="691"/>
      <c r="H47" s="692"/>
      <c r="I47" s="693"/>
    </row>
    <row r="48" spans="2:16" hidden="1" x14ac:dyDescent="0.2">
      <c r="D48" s="694" t="s">
        <v>235</v>
      </c>
      <c r="E48" s="695"/>
      <c r="F48" s="695" t="s">
        <v>317</v>
      </c>
      <c r="G48" s="695"/>
      <c r="H48" s="695"/>
      <c r="I48" s="696"/>
    </row>
    <row r="49" spans="4:9" hidden="1" x14ac:dyDescent="0.2">
      <c r="D49" s="694" t="s">
        <v>236</v>
      </c>
      <c r="E49" s="695"/>
      <c r="F49" s="695" t="s">
        <v>318</v>
      </c>
      <c r="G49" s="695"/>
      <c r="H49" s="695"/>
      <c r="I49" s="696"/>
    </row>
    <row r="50" spans="4:9" hidden="1" x14ac:dyDescent="0.2">
      <c r="D50" s="697" t="s">
        <v>399</v>
      </c>
      <c r="E50" s="698"/>
      <c r="F50" s="698" t="s">
        <v>400</v>
      </c>
      <c r="G50" s="698"/>
      <c r="H50" s="698"/>
      <c r="I50" s="699"/>
    </row>
  </sheetData>
  <mergeCells count="1">
    <mergeCell ref="C3:D3"/>
  </mergeCells>
  <phoneticPr fontId="10" type="noConversion"/>
  <hyperlinks>
    <hyperlink ref="I37" location="CONTENTS!A1" display="BACK TO CONTENTS"/>
  </hyperlinks>
  <pageMargins left="0.98425196850393704" right="0.98425196850393704" top="0.98425196850393704" bottom="0.98425196850393704" header="0.51181102362204722" footer="0.51181102362204722"/>
  <pageSetup paperSize="9" scale="94" orientation="landscape" r:id="rId1"/>
  <headerFooter alignWithMargins="0"/>
  <ignoredErrors>
    <ignoredError sqref="E30:P32 E35:P35"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theme="7" tint="0.79998168889431442"/>
    <pageSetUpPr fitToPage="1"/>
  </sheetPr>
  <dimension ref="B1:P47"/>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6.28515625" style="2" customWidth="1"/>
    <col min="5" max="7" width="9.28515625" style="2" customWidth="1"/>
    <col min="8" max="8" width="9.28515625" style="14" customWidth="1"/>
    <col min="9" max="16" width="9.28515625" style="6" customWidth="1"/>
    <col min="17" max="16384" width="9.140625" style="10"/>
  </cols>
  <sheetData>
    <row r="1" spans="2:16" s="8" customFormat="1" ht="15" customHeight="1" x14ac:dyDescent="0.2">
      <c r="B1" s="439" t="s">
        <v>403</v>
      </c>
      <c r="C1" s="311"/>
      <c r="D1" s="311"/>
      <c r="E1" s="355"/>
      <c r="F1" s="355"/>
      <c r="G1" s="355"/>
      <c r="H1" s="356"/>
      <c r="I1" s="357"/>
      <c r="J1" s="358"/>
      <c r="K1" s="357"/>
      <c r="L1" s="357"/>
      <c r="M1" s="357"/>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24.95" customHeight="1" x14ac:dyDescent="0.2">
      <c r="B3" s="470"/>
      <c r="C3" s="1029" t="s">
        <v>194</v>
      </c>
      <c r="D3" s="1006"/>
      <c r="E3" s="498" t="s">
        <v>17</v>
      </c>
      <c r="F3" s="498" t="s">
        <v>80</v>
      </c>
      <c r="G3" s="499" t="s">
        <v>81</v>
      </c>
      <c r="H3" s="498" t="s">
        <v>17</v>
      </c>
      <c r="I3" s="498" t="s">
        <v>80</v>
      </c>
      <c r="J3" s="499" t="s">
        <v>81</v>
      </c>
      <c r="K3" s="498" t="s">
        <v>17</v>
      </c>
      <c r="L3" s="498" t="s">
        <v>80</v>
      </c>
      <c r="M3" s="499" t="s">
        <v>81</v>
      </c>
      <c r="N3" s="498" t="s">
        <v>17</v>
      </c>
      <c r="O3" s="498" t="s">
        <v>80</v>
      </c>
      <c r="P3" s="499" t="s">
        <v>81</v>
      </c>
    </row>
    <row r="4" spans="2:16" ht="13.35" customHeight="1" x14ac:dyDescent="0.2">
      <c r="B4" s="48"/>
      <c r="C4" s="16" t="s">
        <v>18</v>
      </c>
      <c r="D4" s="338" t="s">
        <v>43</v>
      </c>
      <c r="E4" s="551">
        <f>A2.1.1!E4/A2.1.1!E$29</f>
        <v>1.8881072436256939E-2</v>
      </c>
      <c r="F4" s="551">
        <f>A2.1.1!F4/A2.1.1!F$29</f>
        <v>-2.4467603838447892E-2</v>
      </c>
      <c r="G4" s="552">
        <f>A2.1.1!G4/A2.1.1!G$29</f>
        <v>1.5743565010991659E-5</v>
      </c>
      <c r="H4" s="551">
        <f>A2.1.1!H4/A2.1.1!H$29</f>
        <v>1.8186733013992838E-2</v>
      </c>
      <c r="I4" s="551">
        <f>A2.1.1!I4/A2.1.1!I$29</f>
        <v>-2.4442594835927235E-2</v>
      </c>
      <c r="J4" s="552">
        <f>A2.1.1!J4/A2.1.1!J$29</f>
        <v>6.747899527978068E-6</v>
      </c>
      <c r="K4" s="551">
        <f>A2.1.1!K4/A2.1.1!K$29</f>
        <v>1.6392594473165926E-2</v>
      </c>
      <c r="L4" s="551">
        <f>A2.1.1!L4/A2.1.1!L$29</f>
        <v>-2.2443603123897246E-2</v>
      </c>
      <c r="M4" s="552">
        <f>A2.1.1!M4/A2.1.1!M$29</f>
        <v>1.1188575553808525E-5</v>
      </c>
      <c r="N4" s="551">
        <f>A2.1.1!N4/A2.1.1!N$29</f>
        <v>1.4684408834645894E-2</v>
      </c>
      <c r="O4" s="551">
        <f>A2.1.1!O4/A2.1.1!O$29</f>
        <v>-2.0292865675448579E-2</v>
      </c>
      <c r="P4" s="552">
        <f>A2.1.1!P4/A2.1.1!P$29</f>
        <v>2.4165514503327299E-5</v>
      </c>
    </row>
    <row r="5" spans="2:16" s="50" customFormat="1" ht="13.35" customHeight="1" x14ac:dyDescent="0.2">
      <c r="B5" s="48"/>
      <c r="C5" s="16" t="s">
        <v>19</v>
      </c>
      <c r="D5" s="339" t="s">
        <v>129</v>
      </c>
      <c r="E5" s="551">
        <f>A2.1.1!E5/A2.1.1!E$29</f>
        <v>4.8209426892260904E-2</v>
      </c>
      <c r="F5" s="551">
        <f>A2.1.1!F5/A2.1.1!F$29</f>
        <v>0</v>
      </c>
      <c r="G5" s="552">
        <f>A2.1.1!G5/A2.1.1!G$29</f>
        <v>3.5792288977505335E-5</v>
      </c>
      <c r="H5" s="551">
        <f>A2.1.1!H5/A2.1.1!H$29</f>
        <v>4.8074420010724657E-2</v>
      </c>
      <c r="I5" s="551">
        <f>A2.1.1!I5/A2.1.1!I$29</f>
        <v>0</v>
      </c>
      <c r="J5" s="552">
        <f>A2.1.1!J5/A2.1.1!J$29</f>
        <v>3.3152685065159959E-5</v>
      </c>
      <c r="K5" s="551">
        <f>A2.1.1!K5/A2.1.1!K$29</f>
        <v>3.5847873584441164E-2</v>
      </c>
      <c r="L5" s="551">
        <f>A2.1.1!L5/A2.1.1!L$29</f>
        <v>0</v>
      </c>
      <c r="M5" s="552">
        <f>A2.1.1!M5/A2.1.1!M$29</f>
        <v>9.7771233068066782E-6</v>
      </c>
      <c r="N5" s="551">
        <f>A2.1.1!N5/A2.1.1!N$29</f>
        <v>2.6840337519603259E-2</v>
      </c>
      <c r="O5" s="551">
        <f>A2.1.1!O5/A2.1.1!O$29</f>
        <v>0</v>
      </c>
      <c r="P5" s="552">
        <f>A2.1.1!P5/A2.1.1!P$29</f>
        <v>2.820335097685877E-6</v>
      </c>
    </row>
    <row r="6" spans="2:16" ht="13.35" customHeight="1" x14ac:dyDescent="0.2">
      <c r="B6" s="48"/>
      <c r="C6" s="16" t="s">
        <v>20</v>
      </c>
      <c r="D6" s="338" t="s">
        <v>44</v>
      </c>
      <c r="E6" s="551">
        <f>A2.1.1!E6/A2.1.1!E$29</f>
        <v>3.7361738227418666E-2</v>
      </c>
      <c r="F6" s="551">
        <f>A2.1.1!F6/A2.1.1!F$29</f>
        <v>2.1127837226894305E-3</v>
      </c>
      <c r="G6" s="552">
        <f>A2.1.1!G6/A2.1.1!G$29</f>
        <v>1.4179313293090954E-5</v>
      </c>
      <c r="H6" s="551">
        <f>A2.1.1!H6/A2.1.1!H$29</f>
        <v>4.0209270791221455E-2</v>
      </c>
      <c r="I6" s="551">
        <f>A2.1.1!I6/A2.1.1!I$29</f>
        <v>2.244168263605979E-3</v>
      </c>
      <c r="J6" s="552">
        <f>A2.1.1!J6/A2.1.1!J$29</f>
        <v>2.3398539071482865E-5</v>
      </c>
      <c r="K6" s="551">
        <f>A2.1.1!K6/A2.1.1!K$29</f>
        <v>4.0691931314623335E-2</v>
      </c>
      <c r="L6" s="551">
        <f>A2.1.1!L6/A2.1.1!L$29</f>
        <v>2.1686517227788699E-3</v>
      </c>
      <c r="M6" s="552">
        <f>A2.1.1!M6/A2.1.1!M$29</f>
        <v>1.6080886506440043E-5</v>
      </c>
      <c r="N6" s="551">
        <f>A2.1.1!N6/A2.1.1!N$29</f>
        <v>3.9068307137905725E-2</v>
      </c>
      <c r="O6" s="551">
        <f>A2.1.1!O6/A2.1.1!O$29</f>
        <v>1.8738414943554461E-3</v>
      </c>
      <c r="P6" s="552">
        <f>A2.1.1!P6/A2.1.1!P$29</f>
        <v>1.0016395852854646E-5</v>
      </c>
    </row>
    <row r="7" spans="2:16" ht="13.35" customHeight="1" x14ac:dyDescent="0.2">
      <c r="B7" s="48"/>
      <c r="C7" s="16" t="s">
        <v>21</v>
      </c>
      <c r="D7" s="338" t="s">
        <v>45</v>
      </c>
      <c r="E7" s="551">
        <f>A2.1.1!E7/A2.1.1!E$29</f>
        <v>2.0958221693722232E-2</v>
      </c>
      <c r="F7" s="551">
        <f>A2.1.1!F7/A2.1.1!F$29</f>
        <v>3.0369784137055651E-3</v>
      </c>
      <c r="G7" s="552">
        <f>A2.1.1!G7/A2.1.1!G$29</f>
        <v>1.9274290370152926E-5</v>
      </c>
      <c r="H7" s="551">
        <f>A2.1.1!H7/A2.1.1!H$29</f>
        <v>2.1284967604094564E-2</v>
      </c>
      <c r="I7" s="551">
        <f>A2.1.1!I7/A2.1.1!I$29</f>
        <v>3.0943460918134978E-3</v>
      </c>
      <c r="J7" s="552">
        <f>A2.1.1!J7/A2.1.1!J$29</f>
        <v>1.3284612228813963E-5</v>
      </c>
      <c r="K7" s="551">
        <f>A2.1.1!K7/A2.1.1!K$29</f>
        <v>2.209271910388971E-2</v>
      </c>
      <c r="L7" s="551">
        <f>A2.1.1!L7/A2.1.1!L$29</f>
        <v>2.9988833663446139E-3</v>
      </c>
      <c r="M7" s="552">
        <f>A2.1.1!M7/A2.1.1!M$29</f>
        <v>1.5173308034829698E-5</v>
      </c>
      <c r="N7" s="551">
        <f>A2.1.1!N7/A2.1.1!N$29</f>
        <v>1.95054742299989E-2</v>
      </c>
      <c r="O7" s="551">
        <f>A2.1.1!O7/A2.1.1!O$29</f>
        <v>2.4479042829794093E-3</v>
      </c>
      <c r="P7" s="552">
        <f>A2.1.1!P7/A2.1.1!P$29</f>
        <v>1.0195566974455901E-5</v>
      </c>
    </row>
    <row r="8" spans="2:16" ht="13.35" customHeight="1" x14ac:dyDescent="0.2">
      <c r="B8" s="48"/>
      <c r="C8" s="16" t="s">
        <v>22</v>
      </c>
      <c r="D8" s="338" t="s">
        <v>46</v>
      </c>
      <c r="E8" s="551">
        <f>A2.1.1!E8/A2.1.1!E$29</f>
        <v>2.5108912941579884E-2</v>
      </c>
      <c r="F8" s="551">
        <f>A2.1.1!F8/A2.1.1!F$29</f>
        <v>5.0992114581527364E-3</v>
      </c>
      <c r="G8" s="552">
        <f>A2.1.1!G8/A2.1.1!G$29</f>
        <v>2.4427283789155748E-5</v>
      </c>
      <c r="H8" s="551">
        <f>A2.1.1!H8/A2.1.1!H$29</f>
        <v>2.4321021569678889E-2</v>
      </c>
      <c r="I8" s="551">
        <f>A2.1.1!I8/A2.1.1!I$29</f>
        <v>4.9257581881809002E-3</v>
      </c>
      <c r="J8" s="552">
        <f>A2.1.1!J8/A2.1.1!J$29</f>
        <v>2.4517778142760265E-5</v>
      </c>
      <c r="K8" s="551">
        <f>A2.1.1!K8/A2.1.1!K$29</f>
        <v>2.4821708825701626E-2</v>
      </c>
      <c r="L8" s="551">
        <f>A2.1.1!L8/A2.1.1!L$29</f>
        <v>4.7140312693848769E-3</v>
      </c>
      <c r="M8" s="552">
        <f>A2.1.1!M8/A2.1.1!M$29</f>
        <v>1.9157508223886013E-5</v>
      </c>
      <c r="N8" s="551">
        <f>A2.1.1!N8/A2.1.1!N$29</f>
        <v>2.2090138477160383E-2</v>
      </c>
      <c r="O8" s="551">
        <f>A2.1.1!O8/A2.1.1!O$29</f>
        <v>3.870432362878525E-3</v>
      </c>
      <c r="P8" s="552">
        <f>A2.1.1!P8/A2.1.1!P$29</f>
        <v>1.3593711882993109E-5</v>
      </c>
    </row>
    <row r="9" spans="2:16" ht="13.35" customHeight="1" x14ac:dyDescent="0.2">
      <c r="B9" s="48"/>
      <c r="C9" s="16" t="s">
        <v>23</v>
      </c>
      <c r="D9" s="338" t="s">
        <v>47</v>
      </c>
      <c r="E9" s="551">
        <f>A2.1.1!E9/A2.1.1!E$29</f>
        <v>3.7968395672213155E-2</v>
      </c>
      <c r="F9" s="551">
        <f>A2.1.1!F9/A2.1.1!F$29</f>
        <v>9.8948292559634943E-3</v>
      </c>
      <c r="G9" s="552">
        <f>A2.1.1!G9/A2.1.1!G$29</f>
        <v>1.6037536873975391E-4</v>
      </c>
      <c r="H9" s="551">
        <f>A2.1.1!H9/A2.1.1!H$29</f>
        <v>2.9460620070785943E-2</v>
      </c>
      <c r="I9" s="551">
        <f>A2.1.1!I9/A2.1.1!I$29</f>
        <v>7.7045700080339017E-3</v>
      </c>
      <c r="J9" s="552">
        <f>A2.1.1!J9/A2.1.1!J$29</f>
        <v>3.4797482021631979E-5</v>
      </c>
      <c r="K9" s="551">
        <f>A2.1.1!K9/A2.1.1!K$29</f>
        <v>2.8300598535204332E-2</v>
      </c>
      <c r="L9" s="551">
        <f>A2.1.1!L9/A2.1.1!L$29</f>
        <v>6.9116437163839264E-3</v>
      </c>
      <c r="M9" s="552">
        <f>A2.1.1!M9/A2.1.1!M$29</f>
        <v>2.2621695338461101E-5</v>
      </c>
      <c r="N9" s="551">
        <f>A2.1.1!N9/A2.1.1!N$29</f>
        <v>2.5923577490105629E-2</v>
      </c>
      <c r="O9" s="551">
        <f>A2.1.1!O9/A2.1.1!O$29</f>
        <v>5.8382092249054012E-3</v>
      </c>
      <c r="P9" s="552">
        <f>A2.1.1!P9/A2.1.1!P$29</f>
        <v>1.6637037100287777E-5</v>
      </c>
    </row>
    <row r="10" spans="2:16" s="50" customFormat="1" ht="13.35" customHeight="1" x14ac:dyDescent="0.2">
      <c r="B10" s="48"/>
      <c r="C10" s="16" t="s">
        <v>24</v>
      </c>
      <c r="D10" s="338" t="s">
        <v>48</v>
      </c>
      <c r="E10" s="551">
        <f>A2.1.1!E10/A2.1.1!E$29</f>
        <v>3.9708583746630652E-2</v>
      </c>
      <c r="F10" s="551">
        <f>A2.1.1!F10/A2.1.1!F$29</f>
        <v>1.2643681554053697E-2</v>
      </c>
      <c r="G10" s="552">
        <f>A2.1.1!G10/A2.1.1!G$29</f>
        <v>1.6628421152673459E-3</v>
      </c>
      <c r="H10" s="551">
        <f>A2.1.1!H10/A2.1.1!H$29</f>
        <v>4.321813322968563E-2</v>
      </c>
      <c r="I10" s="551">
        <f>A2.1.1!I10/A2.1.1!I$29</f>
        <v>1.3738932362560506E-2</v>
      </c>
      <c r="J10" s="552">
        <f>A2.1.1!J10/A2.1.1!J$29</f>
        <v>3.7182204730430837E-4</v>
      </c>
      <c r="K10" s="551">
        <f>A2.1.1!K10/A2.1.1!K$29</f>
        <v>4.0865606536189071E-2</v>
      </c>
      <c r="L10" s="551">
        <f>A2.1.1!L10/A2.1.1!L$29</f>
        <v>1.224138718778483E-2</v>
      </c>
      <c r="M10" s="552">
        <f>A2.1.1!M10/A2.1.1!M$29</f>
        <v>1.1916897729611699E-4</v>
      </c>
      <c r="N10" s="551">
        <f>A2.1.1!N10/A2.1.1!N$29</f>
        <v>3.4800860654237389E-2</v>
      </c>
      <c r="O10" s="551">
        <f>A2.1.1!O10/A2.1.1!O$29</f>
        <v>9.6692864793398291E-3</v>
      </c>
      <c r="P10" s="552">
        <f>A2.1.1!P10/A2.1.1!P$29</f>
        <v>2.245993161820411E-5</v>
      </c>
    </row>
    <row r="11" spans="2:16" s="1" customFormat="1" ht="13.35" customHeight="1" x14ac:dyDescent="0.2">
      <c r="B11" s="26"/>
      <c r="C11" s="16" t="s">
        <v>25</v>
      </c>
      <c r="D11" s="338" t="s">
        <v>49</v>
      </c>
      <c r="E11" s="551">
        <f>A2.1.1!E11/A2.1.1!E$29</f>
        <v>4.4186687529401879E-2</v>
      </c>
      <c r="F11" s="551">
        <f>A2.1.1!F11/A2.1.1!F$29</f>
        <v>1.6540291949106809E-2</v>
      </c>
      <c r="G11" s="552">
        <f>A2.1.1!G11/A2.1.1!G$29</f>
        <v>3.7518422044657629E-3</v>
      </c>
      <c r="H11" s="551">
        <f>A2.1.1!H11/A2.1.1!H$29</f>
        <v>4.7119717496028238E-2</v>
      </c>
      <c r="I11" s="551">
        <f>A2.1.1!I11/A2.1.1!I$29</f>
        <v>1.770444598457464E-2</v>
      </c>
      <c r="J11" s="552">
        <f>A2.1.1!J11/A2.1.1!J$29</f>
        <v>2.4534989814613984E-3</v>
      </c>
      <c r="K11" s="551">
        <f>A2.1.1!K11/A2.1.1!K$29</f>
        <v>4.3361875307730183E-2</v>
      </c>
      <c r="L11" s="551">
        <f>A2.1.1!L11/A2.1.1!L$29</f>
        <v>1.524553642938096E-2</v>
      </c>
      <c r="M11" s="552">
        <f>A2.1.1!M11/A2.1.1!M$29</f>
        <v>1.5668551290317638E-3</v>
      </c>
      <c r="N11" s="551">
        <f>A2.1.1!N11/A2.1.1!N$29</f>
        <v>3.7487321872429993E-2</v>
      </c>
      <c r="O11" s="551">
        <f>A2.1.1!O11/A2.1.1!O$29</f>
        <v>1.2181042674688216E-2</v>
      </c>
      <c r="P11" s="552">
        <f>A2.1.1!P11/A2.1.1!P$29</f>
        <v>8.2591868720091231E-4</v>
      </c>
    </row>
    <row r="12" spans="2:16" s="1" customFormat="1" ht="13.35" customHeight="1" x14ac:dyDescent="0.2">
      <c r="B12" s="26"/>
      <c r="C12" s="16" t="s">
        <v>26</v>
      </c>
      <c r="D12" s="338" t="s">
        <v>50</v>
      </c>
      <c r="E12" s="551">
        <f>A2.1.1!E12/A2.1.1!E$29</f>
        <v>4.37376888749125E-2</v>
      </c>
      <c r="F12" s="551">
        <f>A2.1.1!F12/A2.1.1!F$29</f>
        <v>1.8879796498440675E-2</v>
      </c>
      <c r="G12" s="552">
        <f>A2.1.1!G12/A2.1.1!G$29</f>
        <v>5.6659338254758775E-3</v>
      </c>
      <c r="H12" s="551">
        <f>A2.1.1!H12/A2.1.1!H$29</f>
        <v>4.6009463451188608E-2</v>
      </c>
      <c r="I12" s="551">
        <f>A2.1.1!I12/A2.1.1!I$29</f>
        <v>1.9898152951172157E-2</v>
      </c>
      <c r="J12" s="552">
        <f>A2.1.1!J12/A2.1.1!J$29</f>
        <v>4.5160975435691282E-3</v>
      </c>
      <c r="K12" s="551">
        <f>A2.1.1!K12/A2.1.1!K$29</f>
        <v>4.9263178545051696E-2</v>
      </c>
      <c r="L12" s="551">
        <f>A2.1.1!L12/A2.1.1!L$29</f>
        <v>1.9938699905495304E-2</v>
      </c>
      <c r="M12" s="552">
        <f>A2.1.1!M12/A2.1.1!M$29</f>
        <v>3.9583584632428889E-3</v>
      </c>
      <c r="N12" s="551">
        <f>A2.1.1!N12/A2.1.1!N$29</f>
        <v>4.3317351861426136E-2</v>
      </c>
      <c r="O12" s="551">
        <f>A2.1.1!O12/A2.1.1!O$29</f>
        <v>1.6235891896978209E-2</v>
      </c>
      <c r="P12" s="552">
        <f>A2.1.1!P12/A2.1.1!P$29</f>
        <v>2.735401332875254E-3</v>
      </c>
    </row>
    <row r="13" spans="2:16" s="1" customFormat="1" ht="13.35" customHeight="1" x14ac:dyDescent="0.2">
      <c r="B13" s="26"/>
      <c r="C13" s="27" t="s">
        <v>27</v>
      </c>
      <c r="D13" s="312" t="s">
        <v>51</v>
      </c>
      <c r="E13" s="551">
        <f>A2.1.1!E13/A2.1.1!E$29</f>
        <v>4.2118450343528534E-2</v>
      </c>
      <c r="F13" s="551">
        <f>A2.1.1!F13/A2.1.1!F$29</f>
        <v>2.0609398511201849E-2</v>
      </c>
      <c r="G13" s="552">
        <f>A2.1.1!G13/A2.1.1!G$29</f>
        <v>7.6349351627589589E-3</v>
      </c>
      <c r="H13" s="551">
        <f>A2.1.1!H13/A2.1.1!H$29</f>
        <v>4.33248999611721E-2</v>
      </c>
      <c r="I13" s="551">
        <f>A2.1.1!I13/A2.1.1!I$29</f>
        <v>2.1229060993683411E-2</v>
      </c>
      <c r="J13" s="552">
        <f>A2.1.1!J13/A2.1.1!J$29</f>
        <v>6.3136337862718175E-3</v>
      </c>
      <c r="K13" s="551">
        <f>A2.1.1!K13/A2.1.1!K$29</f>
        <v>4.4271025664697192E-2</v>
      </c>
      <c r="L13" s="551">
        <f>A2.1.1!L13/A2.1.1!L$29</f>
        <v>2.0324828973297668E-2</v>
      </c>
      <c r="M13" s="552">
        <f>A2.1.1!M13/A2.1.1!M$29</f>
        <v>5.4656721572611498E-3</v>
      </c>
      <c r="N13" s="551">
        <f>A2.1.1!N13/A2.1.1!N$29</f>
        <v>4.6373805916635723E-2</v>
      </c>
      <c r="O13" s="551">
        <f>A2.1.1!O13/A2.1.1!O$29</f>
        <v>1.963412921952179E-2</v>
      </c>
      <c r="P13" s="552">
        <f>A2.1.1!P13/A2.1.1!P$29</f>
        <v>4.7852050874858387E-3</v>
      </c>
    </row>
    <row r="14" spans="2:16" s="1" customFormat="1" ht="13.35" customHeight="1" x14ac:dyDescent="0.2">
      <c r="B14" s="26"/>
      <c r="C14" s="27" t="s">
        <v>28</v>
      </c>
      <c r="D14" s="312" t="s">
        <v>52</v>
      </c>
      <c r="E14" s="551">
        <f>A2.1.1!E14/A2.1.1!E$29</f>
        <v>4.2676727971109607E-2</v>
      </c>
      <c r="F14" s="551">
        <f>A2.1.1!F14/A2.1.1!F$29</f>
        <v>2.337524905517236E-2</v>
      </c>
      <c r="G14" s="552">
        <f>A2.1.1!G14/A2.1.1!G$29</f>
        <v>9.9243551669477535E-3</v>
      </c>
      <c r="H14" s="551">
        <f>A2.1.1!H14/A2.1.1!H$29</f>
        <v>4.1368509572417236E-2</v>
      </c>
      <c r="I14" s="551">
        <f>A2.1.1!I14/A2.1.1!I$29</f>
        <v>2.264845635626786E-2</v>
      </c>
      <c r="J14" s="552">
        <f>A2.1.1!J14/A2.1.1!J$29</f>
        <v>8.2597924671192671E-3</v>
      </c>
      <c r="K14" s="551">
        <f>A2.1.1!K14/A2.1.1!K$29</f>
        <v>3.9184245753323486E-2</v>
      </c>
      <c r="L14" s="551">
        <f>A2.1.1!L14/A2.1.1!L$29</f>
        <v>2.0100447247029182E-2</v>
      </c>
      <c r="M14" s="552">
        <f>A2.1.1!M14/A2.1.1!M$29</f>
        <v>6.7568602129937164E-3</v>
      </c>
      <c r="N14" s="551">
        <f>A2.1.1!N14/A2.1.1!N$29</f>
        <v>4.2451490317444066E-2</v>
      </c>
      <c r="O14" s="551">
        <f>A2.1.1!O14/A2.1.1!O$29</f>
        <v>2.0100156081750448E-2</v>
      </c>
      <c r="P14" s="552">
        <f>A2.1.1!P14/A2.1.1!P$29</f>
        <v>6.1234677073559399E-3</v>
      </c>
    </row>
    <row r="15" spans="2:16" customFormat="1" ht="13.35" customHeight="1" x14ac:dyDescent="0.2">
      <c r="B15" s="26"/>
      <c r="C15" s="27" t="s">
        <v>29</v>
      </c>
      <c r="D15" s="312" t="s">
        <v>53</v>
      </c>
      <c r="E15" s="551">
        <f>A2.1.1!E15/A2.1.1!E$29</f>
        <v>4.4773823293566398E-2</v>
      </c>
      <c r="F15" s="551">
        <f>A2.1.1!F15/A2.1.1!F$29</f>
        <v>2.7046429786999695E-2</v>
      </c>
      <c r="G15" s="552">
        <f>A2.1.1!G15/A2.1.1!G$29</f>
        <v>1.263279500341806E-2</v>
      </c>
      <c r="H15" s="551">
        <f>A2.1.1!H15/A2.1.1!H$29</f>
        <v>4.0236462318341604E-2</v>
      </c>
      <c r="I15" s="551">
        <f>A2.1.1!I15/A2.1.1!I$29</f>
        <v>2.437597654580138E-2</v>
      </c>
      <c r="J15" s="552">
        <f>A2.1.1!J15/A2.1.1!J$29</f>
        <v>1.0176662332450615E-2</v>
      </c>
      <c r="K15" s="551">
        <f>A2.1.1!K15/A2.1.1!K$29</f>
        <v>3.794813207779419E-2</v>
      </c>
      <c r="L15" s="551">
        <f>A2.1.1!L15/A2.1.1!L$29</f>
        <v>2.1497025061673065E-2</v>
      </c>
      <c r="M15" s="552">
        <f>A2.1.1!M15/A2.1.1!M$29</f>
        <v>8.4089230480514521E-3</v>
      </c>
      <c r="N15" s="551">
        <f>A2.1.1!N15/A2.1.1!N$29</f>
        <v>3.765215466013809E-2</v>
      </c>
      <c r="O15" s="551">
        <f>A2.1.1!O15/A2.1.1!O$29</f>
        <v>1.9717868256881842E-2</v>
      </c>
      <c r="P15" s="552">
        <f>A2.1.1!P15/A2.1.1!P$29</f>
        <v>7.1081132197388886E-3</v>
      </c>
    </row>
    <row r="16" spans="2:16" customFormat="1" ht="13.35" customHeight="1" x14ac:dyDescent="0.2">
      <c r="B16" s="26"/>
      <c r="C16" s="27" t="s">
        <v>30</v>
      </c>
      <c r="D16" s="312" t="s">
        <v>54</v>
      </c>
      <c r="E16" s="551">
        <f>A2.1.1!E16/A2.1.1!E$29</f>
        <v>4.169597571163422E-2</v>
      </c>
      <c r="F16" s="551">
        <f>A2.1.1!F16/A2.1.1!F$29</f>
        <v>2.7623965578808547E-2</v>
      </c>
      <c r="G16" s="552">
        <f>A2.1.1!G16/A2.1.1!G$29</f>
        <v>1.385866855591671E-2</v>
      </c>
      <c r="H16" s="551">
        <f>A2.1.1!H16/A2.1.1!H$29</f>
        <v>4.2134470898867911E-2</v>
      </c>
      <c r="I16" s="551">
        <f>A2.1.1!I16/A2.1.1!I$29</f>
        <v>2.7952265129863273E-2</v>
      </c>
      <c r="J16" s="552">
        <f>A2.1.1!J16/A2.1.1!J$29</f>
        <v>1.289589089938379E-2</v>
      </c>
      <c r="K16" s="551">
        <f>A2.1.1!K16/A2.1.1!K$29</f>
        <v>3.7044366999015262E-2</v>
      </c>
      <c r="L16" s="551">
        <f>A2.1.1!L16/A2.1.1!L$29</f>
        <v>2.3034502458179E-2</v>
      </c>
      <c r="M16" s="552">
        <f>A2.1.1!M16/A2.1.1!M$29</f>
        <v>1.0067048032267727E-2</v>
      </c>
      <c r="N16" s="551">
        <f>A2.1.1!N16/A2.1.1!N$29</f>
        <v>3.6460347045450585E-2</v>
      </c>
      <c r="O16" s="551">
        <f>A2.1.1!O16/A2.1.1!O$29</f>
        <v>2.0912229495464126E-2</v>
      </c>
      <c r="P16" s="552">
        <f>A2.1.1!P16/A2.1.1!P$29</f>
        <v>8.5531954616804174E-3</v>
      </c>
    </row>
    <row r="17" spans="2:16" customFormat="1" ht="13.35" customHeight="1" x14ac:dyDescent="0.2">
      <c r="B17" s="26"/>
      <c r="C17" s="27" t="s">
        <v>31</v>
      </c>
      <c r="D17" s="312" t="s">
        <v>55</v>
      </c>
      <c r="E17" s="551">
        <f>A2.1.1!E17/A2.1.1!E$29</f>
        <v>4.4723958131087663E-2</v>
      </c>
      <c r="F17" s="551">
        <f>A2.1.1!F17/A2.1.1!F$29</f>
        <v>3.2218999604424252E-2</v>
      </c>
      <c r="G17" s="552">
        <f>A2.1.1!G17/A2.1.1!G$29</f>
        <v>1.7414373547343053E-2</v>
      </c>
      <c r="H17" s="551">
        <f>A2.1.1!H17/A2.1.1!H$29</f>
        <v>3.7603082879374784E-2</v>
      </c>
      <c r="I17" s="551">
        <f>A2.1.1!I17/A2.1.1!I$29</f>
        <v>2.7093706782193812E-2</v>
      </c>
      <c r="J17" s="552">
        <f>A2.1.1!J17/A2.1.1!J$29</f>
        <v>1.343670229918315E-2</v>
      </c>
      <c r="K17" s="551">
        <f>A2.1.1!K17/A2.1.1!K$29</f>
        <v>3.7608667220580996E-2</v>
      </c>
      <c r="L17" s="551">
        <f>A2.1.1!L17/A2.1.1!L$29</f>
        <v>2.5383733152016186E-2</v>
      </c>
      <c r="M17" s="552">
        <f>A2.1.1!M17/A2.1.1!M$29</f>
        <v>1.2057912811510418E-2</v>
      </c>
      <c r="N17" s="551">
        <f>A2.1.1!N17/A2.1.1!N$29</f>
        <v>3.4903832205703492E-2</v>
      </c>
      <c r="O17" s="551">
        <f>A2.1.1!O17/A2.1.1!O$29</f>
        <v>2.1777873268113691E-2</v>
      </c>
      <c r="P17" s="552">
        <f>A2.1.1!P17/A2.1.1!P$29</f>
        <v>9.7883569485531629E-3</v>
      </c>
    </row>
    <row r="18" spans="2:16" customFormat="1" ht="13.35" customHeight="1" x14ac:dyDescent="0.2">
      <c r="B18" s="26"/>
      <c r="C18" s="27" t="s">
        <v>32</v>
      </c>
      <c r="D18" s="312" t="s">
        <v>56</v>
      </c>
      <c r="E18" s="551">
        <f>A2.1.1!E18/A2.1.1!E$29</f>
        <v>4.5091050603803459E-2</v>
      </c>
      <c r="F18" s="551">
        <f>A2.1.1!F18/A2.1.1!F$29</f>
        <v>3.5009616268853974E-2</v>
      </c>
      <c r="G18" s="552">
        <f>A2.1.1!G18/A2.1.1!G$29</f>
        <v>2.0562151204006215E-2</v>
      </c>
      <c r="H18" s="551">
        <f>A2.1.1!H18/A2.1.1!H$29</f>
        <v>3.4908322566688223E-2</v>
      </c>
      <c r="I18" s="551">
        <f>A2.1.1!I18/A2.1.1!I$29</f>
        <v>2.716603266571194E-2</v>
      </c>
      <c r="J18" s="552">
        <f>A2.1.1!J18/A2.1.1!J$29</f>
        <v>1.4519125378149225E-2</v>
      </c>
      <c r="K18" s="551">
        <f>A2.1.1!K18/A2.1.1!K$29</f>
        <v>3.4474050652387983E-2</v>
      </c>
      <c r="L18" s="551">
        <f>A2.1.1!L18/A2.1.1!L$29</f>
        <v>2.5121326205437246E-2</v>
      </c>
      <c r="M18" s="552">
        <f>A2.1.1!M18/A2.1.1!M$29</f>
        <v>1.2717926352222873E-2</v>
      </c>
      <c r="N18" s="551">
        <f>A2.1.1!N18/A2.1.1!N$29</f>
        <v>3.7669773366662704E-2</v>
      </c>
      <c r="O18" s="551">
        <f>A2.1.1!O18/A2.1.1!O$29</f>
        <v>2.5365010436481508E-2</v>
      </c>
      <c r="P18" s="552">
        <f>A2.1.1!P18/A2.1.1!P$29</f>
        <v>1.2293021702320715E-2</v>
      </c>
    </row>
    <row r="19" spans="2:16" customFormat="1" ht="13.35" customHeight="1" x14ac:dyDescent="0.2">
      <c r="B19" s="26"/>
      <c r="C19" s="27" t="s">
        <v>33</v>
      </c>
      <c r="D19" s="312" t="s">
        <v>57</v>
      </c>
      <c r="E19" s="551">
        <f>A2.1.1!E19/A2.1.1!E$29</f>
        <v>3.6688452437865358E-2</v>
      </c>
      <c r="F19" s="551">
        <f>A2.1.1!F19/A2.1.1!F$29</f>
        <v>3.061418538339588E-2</v>
      </c>
      <c r="G19" s="552">
        <f>A2.1.1!G19/A2.1.1!G$29</f>
        <v>1.9210335734717334E-2</v>
      </c>
      <c r="H19" s="551">
        <f>A2.1.1!H19/A2.1.1!H$29</f>
        <v>3.664977992857426E-2</v>
      </c>
      <c r="I19" s="551">
        <f>A2.1.1!I19/A2.1.1!I$29</f>
        <v>3.0671424981799353E-2</v>
      </c>
      <c r="J19" s="552">
        <f>A2.1.1!J19/A2.1.1!J$29</f>
        <v>1.7949986876483123E-2</v>
      </c>
      <c r="K19" s="551">
        <f>A2.1.1!K19/A2.1.1!K$29</f>
        <v>3.2335518217626785E-2</v>
      </c>
      <c r="L19" s="551">
        <f>A2.1.1!L19/A2.1.1!L$29</f>
        <v>2.5321559628337618E-2</v>
      </c>
      <c r="M19" s="552">
        <f>A2.1.1!M19/A2.1.1!M$29</f>
        <v>1.3823445601183428E-2</v>
      </c>
      <c r="N19" s="551">
        <f>A2.1.1!N19/A2.1.1!N$29</f>
        <v>3.2916050582914906E-2</v>
      </c>
      <c r="O19" s="551">
        <f>A2.1.1!O19/A2.1.1!O$29</f>
        <v>2.379011394688247E-2</v>
      </c>
      <c r="P19" s="552">
        <f>A2.1.1!P19/A2.1.1!P$29</f>
        <v>1.218767302149678E-2</v>
      </c>
    </row>
    <row r="20" spans="2:16" customFormat="1" ht="13.35" customHeight="1" x14ac:dyDescent="0.2">
      <c r="B20" s="26"/>
      <c r="C20" s="27" t="s">
        <v>34</v>
      </c>
      <c r="D20" s="527" t="s">
        <v>58</v>
      </c>
      <c r="E20" s="551">
        <f>A2.1.1!E20/A2.1.1!E$29</f>
        <v>0.13560905203355436</v>
      </c>
      <c r="F20" s="551">
        <f>A2.1.1!F20/A2.1.1!F$29</f>
        <v>0.13451788829073688</v>
      </c>
      <c r="G20" s="552">
        <f>A2.1.1!G20/A2.1.1!G$29</f>
        <v>9.6293958369782023E-2</v>
      </c>
      <c r="H20" s="551">
        <f>A2.1.1!H20/A2.1.1!H$29</f>
        <v>0.14499701892890177</v>
      </c>
      <c r="I20" s="551">
        <f>A2.1.1!I20/A2.1.1!I$29</f>
        <v>0.14447994541874057</v>
      </c>
      <c r="J20" s="552">
        <f>A2.1.1!J20/A2.1.1!J$29</f>
        <v>9.9922284978547674E-2</v>
      </c>
      <c r="K20" s="551">
        <f>A2.1.1!K20/A2.1.1!K$29</f>
        <v>0.14548752154111275</v>
      </c>
      <c r="L20" s="551">
        <f>A2.1.1!L20/A2.1.1!L$29</f>
        <v>0.13623881360621801</v>
      </c>
      <c r="M20" s="552">
        <f>A2.1.1!M20/A2.1.1!M$29</f>
        <v>9.0180893636795295E-2</v>
      </c>
      <c r="N20" s="551">
        <f>A2.1.1!N20/A2.1.1!N$29</f>
        <v>0.14283896482660158</v>
      </c>
      <c r="O20" s="551">
        <f>A2.1.1!O20/A2.1.1!O$29</f>
        <v>0.12443712610483128</v>
      </c>
      <c r="P20" s="552">
        <f>A2.1.1!P20/A2.1.1!P$29</f>
        <v>7.8116174436360111E-2</v>
      </c>
    </row>
    <row r="21" spans="2:16" customFormat="1" ht="13.35" customHeight="1" x14ac:dyDescent="0.2">
      <c r="B21" s="26"/>
      <c r="C21" s="27" t="s">
        <v>35</v>
      </c>
      <c r="D21" s="312" t="s">
        <v>59</v>
      </c>
      <c r="E21" s="551">
        <f>A2.1.1!E21/A2.1.1!E$29</f>
        <v>0.11889552272376673</v>
      </c>
      <c r="F21" s="551">
        <f>A2.1.1!F21/A2.1.1!F$29</f>
        <v>0.16599627074277351</v>
      </c>
      <c r="G21" s="552">
        <f>A2.1.1!G21/A2.1.1!G$29</f>
        <v>0.14857702051186342</v>
      </c>
      <c r="H21" s="551">
        <f>A2.1.1!H21/A2.1.1!H$29</f>
        <v>0.12727454125294557</v>
      </c>
      <c r="I21" s="551">
        <f>A2.1.1!I21/A2.1.1!I$29</f>
        <v>0.17728636452680682</v>
      </c>
      <c r="J21" s="552">
        <f>A2.1.1!J21/A2.1.1!J$29</f>
        <v>0.15636000913167772</v>
      </c>
      <c r="K21" s="551">
        <f>A2.1.1!K21/A2.1.1!K$29</f>
        <v>0.14024360690546528</v>
      </c>
      <c r="L21" s="551">
        <f>A2.1.1!L21/A2.1.1!L$29</f>
        <v>0.18265652615020223</v>
      </c>
      <c r="M21" s="552">
        <f>A2.1.1!M21/A2.1.1!M$29</f>
        <v>0.15511699360207562</v>
      </c>
      <c r="N21" s="551">
        <f>A2.1.1!N21/A2.1.1!N$29</f>
        <v>0.15668707239154561</v>
      </c>
      <c r="O21" s="551">
        <f>A2.1.1!O21/A2.1.1!O$29</f>
        <v>0.18908271584243252</v>
      </c>
      <c r="P21" s="552">
        <f>A2.1.1!P21/A2.1.1!P$29</f>
        <v>0.15395877015650497</v>
      </c>
    </row>
    <row r="22" spans="2:16" customFormat="1" ht="13.35" customHeight="1" x14ac:dyDescent="0.2">
      <c r="B22" s="26"/>
      <c r="C22" s="27" t="s">
        <v>36</v>
      </c>
      <c r="D22" s="312" t="s">
        <v>60</v>
      </c>
      <c r="E22" s="551">
        <f>A2.1.1!E22/A2.1.1!E$29</f>
        <v>5.3394555021326374E-2</v>
      </c>
      <c r="F22" s="551">
        <f>A2.1.1!F22/A2.1.1!F$29</f>
        <v>0.10578651058301226</v>
      </c>
      <c r="G22" s="552">
        <f>A2.1.1!G22/A2.1.1!G$29</f>
        <v>0.11524262299628509</v>
      </c>
      <c r="H22" s="551">
        <f>A2.1.1!H22/A2.1.1!H$29</f>
        <v>5.515661319932709E-2</v>
      </c>
      <c r="I22" s="551">
        <f>A2.1.1!I22/A2.1.1!I$29</f>
        <v>0.10931764511460214</v>
      </c>
      <c r="J22" s="552">
        <f>A2.1.1!J22/A2.1.1!J$29</f>
        <v>0.12029409978440599</v>
      </c>
      <c r="K22" s="551">
        <f>A2.1.1!K22/A2.1.1!K$29</f>
        <v>6.0704202055637618E-2</v>
      </c>
      <c r="L22" s="551">
        <f>A2.1.1!L22/A2.1.1!L$29</f>
        <v>0.11302079477653662</v>
      </c>
      <c r="M22" s="552">
        <f>A2.1.1!M22/A2.1.1!M$29</f>
        <v>0.1206560377511499</v>
      </c>
      <c r="N22" s="551">
        <f>A2.1.1!N22/A2.1.1!N$29</f>
        <v>6.6352636061929357E-2</v>
      </c>
      <c r="O22" s="551">
        <f>A2.1.1!O22/A2.1.1!O$29</f>
        <v>0.11415175574471045</v>
      </c>
      <c r="P22" s="552">
        <f>A2.1.1!P22/A2.1.1!P$29</f>
        <v>0.11710453116350542</v>
      </c>
    </row>
    <row r="23" spans="2:16" customFormat="1" ht="13.35" customHeight="1" x14ac:dyDescent="0.2">
      <c r="B23" s="26"/>
      <c r="C23" s="27" t="s">
        <v>37</v>
      </c>
      <c r="D23" s="312" t="s">
        <v>61</v>
      </c>
      <c r="E23" s="551">
        <f>A2.1.1!E23/A2.1.1!E$29</f>
        <v>2.7957380776109878E-2</v>
      </c>
      <c r="F23" s="551">
        <f>A2.1.1!F23/A2.1.1!F$29</f>
        <v>7.1702186403061224E-2</v>
      </c>
      <c r="G23" s="552">
        <f>A2.1.1!G23/A2.1.1!G$29</f>
        <v>8.8101001432581066E-2</v>
      </c>
      <c r="H23" s="551">
        <f>A2.1.1!H23/A2.1.1!H$29</f>
        <v>2.7868316232661904E-2</v>
      </c>
      <c r="I23" s="551">
        <f>A2.1.1!I23/A2.1.1!I$29</f>
        <v>7.158171434485841E-2</v>
      </c>
      <c r="J23" s="552">
        <f>A2.1.1!J23/A2.1.1!J$29</f>
        <v>8.998451751460769E-2</v>
      </c>
      <c r="K23" s="551">
        <f>A2.1.1!K23/A2.1.1!K$29</f>
        <v>3.1229805206794681E-2</v>
      </c>
      <c r="L23" s="551">
        <f>A2.1.1!L23/A2.1.1!L$29</f>
        <v>7.4998978495235791E-2</v>
      </c>
      <c r="M23" s="552">
        <f>A2.1.1!M23/A2.1.1!M$29</f>
        <v>9.1794120667148316E-2</v>
      </c>
      <c r="N23" s="551">
        <f>A2.1.1!N23/A2.1.1!N$29</f>
        <v>3.5666330671407794E-2</v>
      </c>
      <c r="O23" s="551">
        <f>A2.1.1!O23/A2.1.1!O$29</f>
        <v>7.915435356515646E-2</v>
      </c>
      <c r="P23" s="552">
        <f>A2.1.1!P23/A2.1.1!P$29</f>
        <v>9.3841081806327942E-2</v>
      </c>
    </row>
    <row r="24" spans="2:16" customFormat="1" ht="13.35" customHeight="1" x14ac:dyDescent="0.2">
      <c r="B24" s="26"/>
      <c r="C24" s="27" t="s">
        <v>38</v>
      </c>
      <c r="D24" s="312" t="s">
        <v>62</v>
      </c>
      <c r="E24" s="551">
        <f>A2.1.1!E24/A2.1.1!E$29</f>
        <v>2.8482556423492306E-2</v>
      </c>
      <c r="F24" s="551">
        <f>A2.1.1!F24/A2.1.1!F$29</f>
        <v>9.8358684643371122E-2</v>
      </c>
      <c r="G24" s="552">
        <f>A2.1.1!G24/A2.1.1!G$29</f>
        <v>0.13542788523775504</v>
      </c>
      <c r="H24" s="551">
        <f>A2.1.1!H24/A2.1.1!H$29</f>
        <v>2.9863694472802276E-2</v>
      </c>
      <c r="I24" s="551">
        <f>A2.1.1!I24/A2.1.1!I$29</f>
        <v>0.10310414180455486</v>
      </c>
      <c r="J24" s="552">
        <f>A2.1.1!J24/A2.1.1!J$29</f>
        <v>0.14743721772837054</v>
      </c>
      <c r="K24" s="551">
        <f>A2.1.1!K24/A2.1.1!K$29</f>
        <v>3.3787427683407187E-2</v>
      </c>
      <c r="L24" s="551">
        <f>A2.1.1!L24/A2.1.1!L$29</f>
        <v>0.10948769215582616</v>
      </c>
      <c r="M24" s="552">
        <f>A2.1.1!M24/A2.1.1!M$29</f>
        <v>0.15351107079575779</v>
      </c>
      <c r="N24" s="551">
        <f>A2.1.1!N24/A2.1.1!N$29</f>
        <v>3.8286232331618514E-2</v>
      </c>
      <c r="O24" s="551">
        <f>A2.1.1!O24/A2.1.1!O$29</f>
        <v>0.11501336367717245</v>
      </c>
      <c r="P24" s="552">
        <f>A2.1.1!P24/A2.1.1!P$29</f>
        <v>0.15748518299793748</v>
      </c>
    </row>
    <row r="25" spans="2:16" customFormat="1" ht="13.35" customHeight="1" x14ac:dyDescent="0.2">
      <c r="B25" s="26"/>
      <c r="C25" s="27" t="s">
        <v>39</v>
      </c>
      <c r="D25" s="312" t="s">
        <v>63</v>
      </c>
      <c r="E25" s="551">
        <f>A2.1.1!E25/A2.1.1!E$29</f>
        <v>9.7156433804845583E-3</v>
      </c>
      <c r="F25" s="551">
        <f>A2.1.1!F25/A2.1.1!F$29</f>
        <v>4.794297689475354E-2</v>
      </c>
      <c r="G25" s="552">
        <f>A2.1.1!G25/A2.1.1!G$29</f>
        <v>7.2363530251706928E-2</v>
      </c>
      <c r="H25" s="551">
        <f>A2.1.1!H25/A2.1.1!H$29</f>
        <v>9.6417956164859021E-3</v>
      </c>
      <c r="I25" s="551">
        <f>A2.1.1!I25/A2.1.1!I$29</f>
        <v>4.7600135674091049E-2</v>
      </c>
      <c r="J25" s="552">
        <f>A2.1.1!J25/A2.1.1!J$29</f>
        <v>7.5961074893202044E-2</v>
      </c>
      <c r="K25" s="551">
        <f>A2.1.1!K25/A2.1.1!K$29</f>
        <v>1.1205225258493353E-2</v>
      </c>
      <c r="L25" s="551">
        <f>A2.1.1!L25/A2.1.1!L$29</f>
        <v>5.1782416152219464E-2</v>
      </c>
      <c r="M25" s="552">
        <f>A2.1.1!M25/A2.1.1!M$29</f>
        <v>8.1408678656102629E-2</v>
      </c>
      <c r="N25" s="551">
        <f>A2.1.1!N25/A2.1.1!N$29</f>
        <v>1.3268647883689913E-2</v>
      </c>
      <c r="O25" s="551">
        <f>A2.1.1!O25/A2.1.1!O$29</f>
        <v>5.6610908765471986E-2</v>
      </c>
      <c r="P25" s="552">
        <f>A2.1.1!P25/A2.1.1!P$29</f>
        <v>8.7615607516738817E-2</v>
      </c>
    </row>
    <row r="26" spans="2:16" customFormat="1" ht="13.35" customHeight="1" x14ac:dyDescent="0.2">
      <c r="B26" s="26"/>
      <c r="C26" s="27" t="s">
        <v>40</v>
      </c>
      <c r="D26" s="312" t="s">
        <v>64</v>
      </c>
      <c r="E26" s="551">
        <f>A2.1.1!E26/A2.1.1!E$29</f>
        <v>9.0635768090073041E-3</v>
      </c>
      <c r="F26" s="551">
        <f>A2.1.1!F26/A2.1.1!F$29</f>
        <v>6.9505837215087379E-2</v>
      </c>
      <c r="G26" s="552">
        <f>A2.1.1!G26/A2.1.1!G$29</f>
        <v>0.11308805246787215</v>
      </c>
      <c r="H26" s="551">
        <f>A2.1.1!H26/A2.1.1!H$29</f>
        <v>8.4545655573723226E-3</v>
      </c>
      <c r="I26" s="551">
        <f>A2.1.1!I26/A2.1.1!I$29</f>
        <v>6.4756101684828926E-2</v>
      </c>
      <c r="J26" s="552">
        <f>A2.1.1!J26/A2.1.1!J$29</f>
        <v>0.11250325885142129</v>
      </c>
      <c r="K26" s="551">
        <f>A2.1.1!K26/A2.1.1!K$29</f>
        <v>9.8323639832594775E-3</v>
      </c>
      <c r="L26" s="551">
        <f>A2.1.1!L26/A2.1.1!L$29</f>
        <v>7.0324865945299922E-2</v>
      </c>
      <c r="M26" s="552">
        <f>A2.1.1!M26/A2.1.1!M$29</f>
        <v>0.12095339835763733</v>
      </c>
      <c r="N26" s="551">
        <f>A2.1.1!N26/A2.1.1!N$29</f>
        <v>1.1385991209831551E-2</v>
      </c>
      <c r="O26" s="551">
        <f>A2.1.1!O26/A2.1.1!O$29</f>
        <v>7.5212803167900022E-2</v>
      </c>
      <c r="P26" s="552">
        <f>A2.1.1!P26/A2.1.1!P$29</f>
        <v>0.12820094963915551</v>
      </c>
    </row>
    <row r="27" spans="2:16" customFormat="1" ht="13.35" customHeight="1" x14ac:dyDescent="0.2">
      <c r="B27" s="26"/>
      <c r="C27" s="27" t="s">
        <v>41</v>
      </c>
      <c r="D27" s="312" t="s">
        <v>65</v>
      </c>
      <c r="E27" s="551">
        <f>A2.1.1!E27/A2.1.1!E$29</f>
        <v>2.5219040683394627E-3</v>
      </c>
      <c r="F27" s="551">
        <f>A2.1.1!F27/A2.1.1!F$29</f>
        <v>4.1667372812551097E-2</v>
      </c>
      <c r="G27" s="552">
        <f>A2.1.1!G27/A2.1.1!G$29</f>
        <v>7.3512875088187143E-2</v>
      </c>
      <c r="H27" s="551">
        <f>A2.1.1!H27/A2.1.1!H$29</f>
        <v>2.2602956918624157E-3</v>
      </c>
      <c r="I27" s="551">
        <f>A2.1.1!I27/A2.1.1!I$29</f>
        <v>3.7235961557515775E-2</v>
      </c>
      <c r="J27" s="552">
        <f>A2.1.1!J27/A2.1.1!J$29</f>
        <v>6.9804233689362852E-2</v>
      </c>
      <c r="K27" s="551">
        <f>A2.1.1!K27/A2.1.1!K$29</f>
        <v>2.5828178852781883E-3</v>
      </c>
      <c r="L27" s="551">
        <f>A2.1.1!L27/A2.1.1!L$29</f>
        <v>3.9664499022520269E-2</v>
      </c>
      <c r="M27" s="552">
        <f>A2.1.1!M27/A2.1.1!M$29</f>
        <v>7.3906608632895901E-2</v>
      </c>
      <c r="N27" s="551">
        <f>A2.1.1!N27/A2.1.1!N$29</f>
        <v>2.8718491635127551E-3</v>
      </c>
      <c r="O27" s="551">
        <f>A2.1.1!O27/A2.1.1!O$29</f>
        <v>4.0993310502208009E-2</v>
      </c>
      <c r="P27" s="552">
        <f>A2.1.1!P27/A2.1.1!P$29</f>
        <v>7.6063856668350929E-2</v>
      </c>
    </row>
    <row r="28" spans="2:16" customFormat="1" ht="13.35" customHeight="1" x14ac:dyDescent="0.2">
      <c r="B28" s="525"/>
      <c r="C28" s="500" t="s">
        <v>42</v>
      </c>
      <c r="D28" s="528" t="s">
        <v>66</v>
      </c>
      <c r="E28" s="553">
        <f>A2.1.1!E28/A2.1.1!E$29</f>
        <v>4.7064225692696068E-4</v>
      </c>
      <c r="F28" s="553">
        <f>A2.1.1!F28/A2.1.1!F$29</f>
        <v>2.4284459212131904E-2</v>
      </c>
      <c r="G28" s="554">
        <f>A2.1.1!G28/A2.1.1!G$29</f>
        <v>4.4805029013469388E-2</v>
      </c>
      <c r="H28" s="553">
        <f>A2.1.1!H28/A2.1.1!H$29</f>
        <v>3.7328368480381513E-4</v>
      </c>
      <c r="I28" s="553">
        <f>A2.1.1!I28/A2.1.1!I$29</f>
        <v>1.8633287404666E-2</v>
      </c>
      <c r="J28" s="554">
        <f>A2.1.1!J28/A2.1.1!J$29</f>
        <v>3.670419182097049E-2</v>
      </c>
      <c r="K28" s="553">
        <f>A2.1.1!K28/A2.1.1!K$29</f>
        <v>4.2293666912850814E-4</v>
      </c>
      <c r="L28" s="553">
        <f>A2.1.1!L28/A2.1.1!L$29</f>
        <v>1.926676049631541E-2</v>
      </c>
      <c r="M28" s="554">
        <f>A2.1.1!M28/A2.1.1!M$29</f>
        <v>3.743602801841156E-2</v>
      </c>
      <c r="N28" s="553">
        <f>A2.1.1!N28/A2.1.1!N$29</f>
        <v>4.9704328740006031E-4</v>
      </c>
      <c r="O28" s="553">
        <f>A2.1.1!O28/A2.1.1!O$29</f>
        <v>2.2222539184344425E-2</v>
      </c>
      <c r="P28" s="554">
        <f>A2.1.1!P28/A2.1.1!P$29</f>
        <v>4.3113603953381041E-2</v>
      </c>
    </row>
    <row r="29" spans="2:16" customFormat="1" ht="13.35" customHeight="1" x14ac:dyDescent="0.2">
      <c r="B29" s="525"/>
      <c r="C29" s="501" t="s">
        <v>8</v>
      </c>
      <c r="D29" s="529"/>
      <c r="E29" s="555">
        <f>A2.1.1!E29/A2.1.1!E$29</f>
        <v>1</v>
      </c>
      <c r="F29" s="555">
        <f>A2.1.1!F29/A2.1.1!F$29</f>
        <v>1</v>
      </c>
      <c r="G29" s="556">
        <f>A2.1.1!G29/A2.1.1!G$29</f>
        <v>1</v>
      </c>
      <c r="H29" s="555">
        <f>A2.1.1!H29/A2.1.1!H$29</f>
        <v>1</v>
      </c>
      <c r="I29" s="555">
        <f>A2.1.1!I29/A2.1.1!I$29</f>
        <v>1</v>
      </c>
      <c r="J29" s="556">
        <f>A2.1.1!J29/A2.1.1!J$29</f>
        <v>1</v>
      </c>
      <c r="K29" s="555">
        <f>A2.1.1!K29/A2.1.1!K$29</f>
        <v>1</v>
      </c>
      <c r="L29" s="555">
        <f>A2.1.1!L29/A2.1.1!L$29</f>
        <v>1</v>
      </c>
      <c r="M29" s="556">
        <f>A2.1.1!M29/A2.1.1!M$29</f>
        <v>1</v>
      </c>
      <c r="N29" s="555">
        <f>A2.1.1!N29/A2.1.1!N$29</f>
        <v>1</v>
      </c>
      <c r="O29" s="555">
        <f>A2.1.1!O29/A2.1.1!O$29</f>
        <v>1</v>
      </c>
      <c r="P29" s="556">
        <f>A2.1.1!P29/A2.1.1!P$29</f>
        <v>1</v>
      </c>
    </row>
    <row r="30" spans="2:16" customFormat="1" ht="13.35" customHeight="1" x14ac:dyDescent="0.2">
      <c r="B30" s="26"/>
      <c r="C30" s="27"/>
      <c r="D30" s="338" t="s">
        <v>234</v>
      </c>
      <c r="E30" s="551">
        <f>A2.1.1!E30/A2.1.1!E$29</f>
        <v>6.709049932851785E-2</v>
      </c>
      <c r="F30" s="551">
        <f>A2.1.1!F30/A2.1.1!F$29</f>
        <v>-2.4467603838447892E-2</v>
      </c>
      <c r="G30" s="552">
        <f>A2.1.1!G30/A2.1.1!G$29</f>
        <v>5.1535853988496991E-5</v>
      </c>
      <c r="H30" s="551">
        <f>A2.1.1!H30/A2.1.1!H$29</f>
        <v>6.6261153024717495E-2</v>
      </c>
      <c r="I30" s="551">
        <f>A2.1.1!I30/A2.1.1!I$29</f>
        <v>-2.4442594835927235E-2</v>
      </c>
      <c r="J30" s="552">
        <f>A2.1.1!J30/A2.1.1!J$29</f>
        <v>3.9900584593138025E-5</v>
      </c>
      <c r="K30" s="551">
        <f>A2.1.1!K30/A2.1.1!K$29</f>
        <v>5.2240468057607091E-2</v>
      </c>
      <c r="L30" s="551">
        <f>A2.1.1!L30/A2.1.1!L$29</f>
        <v>-2.2443603123897246E-2</v>
      </c>
      <c r="M30" s="552">
        <f>A2.1.1!M30/A2.1.1!M$29</f>
        <v>2.0965698860615205E-5</v>
      </c>
      <c r="N30" s="551">
        <f>A2.1.1!N30/A2.1.1!N$29</f>
        <v>4.1524746354249152E-2</v>
      </c>
      <c r="O30" s="551">
        <f>A2.1.1!O30/A2.1.1!O$29</f>
        <v>-2.0292865675448579E-2</v>
      </c>
      <c r="P30" s="552">
        <f>A2.1.1!P30/A2.1.1!P$29</f>
        <v>2.6985849601013179E-5</v>
      </c>
    </row>
    <row r="31" spans="2:16" customFormat="1" ht="13.35" customHeight="1" x14ac:dyDescent="0.2">
      <c r="B31" s="26"/>
      <c r="C31" s="27"/>
      <c r="D31" s="338" t="s">
        <v>235</v>
      </c>
      <c r="E31" s="551">
        <f>A2.1.1!E31/A2.1.1!E$29</f>
        <v>0.1611058522815646</v>
      </c>
      <c r="F31" s="551">
        <f>A2.1.1!F31/A2.1.1!F$29</f>
        <v>3.2787484404564922E-2</v>
      </c>
      <c r="G31" s="552">
        <f>A2.1.1!G31/A2.1.1!G$29</f>
        <v>1.8810983714594995E-3</v>
      </c>
      <c r="H31" s="551">
        <f>A2.1.1!H31/A2.1.1!H$29</f>
        <v>0.15849401326546647</v>
      </c>
      <c r="I31" s="551">
        <f>A2.1.1!I31/A2.1.1!I$29</f>
        <v>3.170777491419479E-2</v>
      </c>
      <c r="J31" s="552">
        <f>A2.1.1!J31/A2.1.1!J$29</f>
        <v>4.6782045876899743E-4</v>
      </c>
      <c r="K31" s="551">
        <f>A2.1.1!K31/A2.1.1!K$29</f>
        <v>0.15677256431560807</v>
      </c>
      <c r="L31" s="551">
        <f>A2.1.1!L31/A2.1.1!L$29</f>
        <v>2.9034597262677118E-2</v>
      </c>
      <c r="M31" s="552">
        <f>A2.1.1!M31/A2.1.1!M$29</f>
        <v>1.9220237539973383E-4</v>
      </c>
      <c r="N31" s="551">
        <f>A2.1.1!N31/A2.1.1!N$29</f>
        <v>0.14138835798940802</v>
      </c>
      <c r="O31" s="551">
        <f>A2.1.1!O31/A2.1.1!O$29</f>
        <v>2.3699673844458612E-2</v>
      </c>
      <c r="P31" s="552">
        <f>A2.1.1!P31/A2.1.1!P$29</f>
        <v>7.2902643428795542E-5</v>
      </c>
    </row>
    <row r="32" spans="2:16" customFormat="1" ht="13.35" customHeight="1" x14ac:dyDescent="0.2">
      <c r="B32" s="26"/>
      <c r="C32" s="27"/>
      <c r="D32" s="338" t="s">
        <v>236</v>
      </c>
      <c r="E32" s="551">
        <f>A2.1.1!E32/A2.1.1!E$29</f>
        <v>0.25918935372415314</v>
      </c>
      <c r="F32" s="551">
        <f>A2.1.1!F32/A2.1.1!F$29</f>
        <v>0.13407513137972993</v>
      </c>
      <c r="G32" s="552">
        <f>A2.1.1!G32/A2.1.1!G$29</f>
        <v>5.3468529918983126E-2</v>
      </c>
      <c r="H32" s="551">
        <f>A2.1.1!H32/A2.1.1!H$29</f>
        <v>0.26019352369801568</v>
      </c>
      <c r="I32" s="551">
        <f>A2.1.1!I32/A2.1.1!I$29</f>
        <v>0.13380835796136273</v>
      </c>
      <c r="J32" s="552">
        <f>A2.1.1!J32/A2.1.1!J$29</f>
        <v>4.4615576010256015E-2</v>
      </c>
      <c r="K32" s="551">
        <f>A2.1.1!K32/A2.1.1!K$29</f>
        <v>0.25107282434761202</v>
      </c>
      <c r="L32" s="551">
        <f>A2.1.1!L32/A2.1.1!L$29</f>
        <v>0.12014104007505517</v>
      </c>
      <c r="M32" s="552">
        <f>A2.1.1!M32/A2.1.1!M$29</f>
        <v>3.6223717042848692E-2</v>
      </c>
      <c r="N32" s="551">
        <f>A2.1.1!N32/A2.1.1!N$29</f>
        <v>0.24374247167352459</v>
      </c>
      <c r="O32" s="551">
        <f>A2.1.1!O32/A2.1.1!O$29</f>
        <v>0.10878131762528463</v>
      </c>
      <c r="P32" s="552">
        <f>A2.1.1!P32/A2.1.1!P$29</f>
        <v>3.0131301496337248E-2</v>
      </c>
    </row>
    <row r="33" spans="2:16" customFormat="1" ht="13.35" customHeight="1" x14ac:dyDescent="0.2">
      <c r="B33" s="26"/>
      <c r="C33" s="27"/>
      <c r="D33" s="312" t="s">
        <v>399</v>
      </c>
      <c r="E33" s="551">
        <f>A2.1.1!E33/A2.1.1!E$29</f>
        <v>0.46235997172751386</v>
      </c>
      <c r="F33" s="551">
        <f>A2.1.1!F33/A2.1.1!F$29</f>
        <v>0.57584565727625792</v>
      </c>
      <c r="G33" s="552">
        <f>A2.1.1!G33/A2.1.1!G$29</f>
        <v>0.50540146379657824</v>
      </c>
      <c r="H33" s="551">
        <f>A2.1.1!H33/A2.1.1!H$29</f>
        <v>0.46445767498847357</v>
      </c>
      <c r="I33" s="551">
        <f>A2.1.1!I33/A2.1.1!I$29</f>
        <v>0.58759683383471306</v>
      </c>
      <c r="J33" s="552">
        <f>A2.1.1!J33/A2.1.1!J$29</f>
        <v>0.51246672596305465</v>
      </c>
      <c r="K33" s="551">
        <f>A2.1.1!K33/A2.1.1!K$29</f>
        <v>0.48208337179960609</v>
      </c>
      <c r="L33" s="551">
        <f>A2.1.1!L33/A2.1.1!L$29</f>
        <v>0.58274173201398383</v>
      </c>
      <c r="M33" s="552">
        <f>A2.1.1!M33/A2.1.1!M$29</f>
        <v>0.49634733042208579</v>
      </c>
      <c r="N33" s="551">
        <f>A2.1.1!N33/A2.1.1!N$29</f>
        <v>0.50703466010676546</v>
      </c>
      <c r="O33" s="551">
        <f>A2.1.1!O33/A2.1.1!O$29</f>
        <v>0.57775894890860835</v>
      </c>
      <c r="P33" s="552">
        <f>A2.1.1!P33/A2.1.1!P$29</f>
        <v>0.47728960923506913</v>
      </c>
    </row>
    <row r="34" spans="2:16" customFormat="1" ht="13.35" customHeight="1" x14ac:dyDescent="0.2">
      <c r="B34" s="525"/>
      <c r="C34" s="500"/>
      <c r="D34" s="351" t="s">
        <v>401</v>
      </c>
      <c r="E34" s="553">
        <f>A2.1.1!E34/A2.1.1!E$29</f>
        <v>5.0254322938250592E-2</v>
      </c>
      <c r="F34" s="553">
        <f>A2.1.1!F34/A2.1.1!F$29</f>
        <v>0.281759330777895</v>
      </c>
      <c r="G34" s="554">
        <f>A2.1.1!G34/A2.1.1!G$29</f>
        <v>0.43919737205899073</v>
      </c>
      <c r="H34" s="553">
        <f>A2.1.1!H34/A2.1.1!H$29</f>
        <v>5.0593635023326734E-2</v>
      </c>
      <c r="I34" s="553">
        <f>A2.1.1!I34/A2.1.1!I$29</f>
        <v>0.27132962812565664</v>
      </c>
      <c r="J34" s="554">
        <f>A2.1.1!J34/A2.1.1!J$29</f>
        <v>0.44240997698332718</v>
      </c>
      <c r="K34" s="553">
        <f>A2.1.1!K34/A2.1.1!K$29</f>
        <v>5.7830771479566716E-2</v>
      </c>
      <c r="L34" s="553">
        <f>A2.1.1!L34/A2.1.1!L$29</f>
        <v>0.29052623377218117</v>
      </c>
      <c r="M34" s="554">
        <f>A2.1.1!M34/A2.1.1!M$29</f>
        <v>0.46721578446080519</v>
      </c>
      <c r="N34" s="553">
        <f>A2.1.1!N34/A2.1.1!N$29</f>
        <v>6.6309763876052794E-2</v>
      </c>
      <c r="O34" s="553">
        <f>A2.1.1!O34/A2.1.1!O$29</f>
        <v>0.31005292529709688</v>
      </c>
      <c r="P34" s="554">
        <f>A2.1.1!P34/A2.1.1!P$29</f>
        <v>0.49247920077556379</v>
      </c>
    </row>
    <row r="35" spans="2:16" s="1" customFormat="1" ht="13.35" customHeight="1" x14ac:dyDescent="0.2">
      <c r="B35" s="525"/>
      <c r="C35" s="501" t="s">
        <v>8</v>
      </c>
      <c r="D35" s="529"/>
      <c r="E35" s="555">
        <f>A2.1.1!E35/A2.1.1!E$29</f>
        <v>1</v>
      </c>
      <c r="F35" s="555">
        <f>A2.1.1!F35/A2.1.1!F$29</f>
        <v>1</v>
      </c>
      <c r="G35" s="556">
        <f>A2.1.1!G35/A2.1.1!G$29</f>
        <v>1</v>
      </c>
      <c r="H35" s="555">
        <f>A2.1.1!H35/A2.1.1!H$29</f>
        <v>1</v>
      </c>
      <c r="I35" s="555">
        <f>A2.1.1!I35/A2.1.1!I$29</f>
        <v>1</v>
      </c>
      <c r="J35" s="556">
        <f>A2.1.1!J35/A2.1.1!J$29</f>
        <v>1</v>
      </c>
      <c r="K35" s="555">
        <f>A2.1.1!K35/A2.1.1!K$29</f>
        <v>1</v>
      </c>
      <c r="L35" s="555">
        <f>A2.1.1!L35/A2.1.1!L$29</f>
        <v>1</v>
      </c>
      <c r="M35" s="556">
        <f>A2.1.1!M35/A2.1.1!M$29</f>
        <v>1</v>
      </c>
      <c r="N35" s="555">
        <f>A2.1.1!N35/A2.1.1!N$29</f>
        <v>1</v>
      </c>
      <c r="O35" s="555">
        <f>A2.1.1!O35/A2.1.1!O$29</f>
        <v>1</v>
      </c>
      <c r="P35" s="556">
        <f>A2.1.1!P35/A2.1.1!P$29</f>
        <v>1</v>
      </c>
    </row>
    <row r="36" spans="2:16" customFormat="1" ht="13.35" customHeight="1" x14ac:dyDescent="0.2">
      <c r="B36" s="1"/>
      <c r="C36" s="1"/>
      <c r="D36" s="1"/>
      <c r="E36" s="1"/>
      <c r="F36" s="1"/>
      <c r="G36" s="1"/>
      <c r="H36" s="1"/>
      <c r="I36" s="1"/>
      <c r="J36" s="1"/>
      <c r="K36" s="1"/>
      <c r="L36" s="1"/>
      <c r="M36" s="1"/>
      <c r="N36" s="1"/>
      <c r="O36" s="1"/>
      <c r="P36" s="1"/>
    </row>
    <row r="37" spans="2:16" customFormat="1" ht="13.35" customHeight="1" x14ac:dyDescent="0.2">
      <c r="I37" s="352" t="s">
        <v>371</v>
      </c>
    </row>
    <row r="38" spans="2:16" customFormat="1" ht="13.35" customHeight="1" x14ac:dyDescent="0.2">
      <c r="I38" s="1"/>
    </row>
    <row r="39" spans="2:16" customFormat="1" ht="13.35" customHeight="1" x14ac:dyDescent="0.2">
      <c r="I39" s="1"/>
    </row>
    <row r="40" spans="2:16" customFormat="1" ht="13.35" customHeight="1" x14ac:dyDescent="0.2">
      <c r="I40" s="1"/>
    </row>
    <row r="41" spans="2:16" customFormat="1" ht="13.35" customHeight="1" x14ac:dyDescent="0.2">
      <c r="I41" s="1"/>
    </row>
    <row r="42" spans="2:16" customFormat="1" ht="13.35" hidden="1" customHeight="1" x14ac:dyDescent="0.2">
      <c r="I42" s="1"/>
      <c r="K42" s="399">
        <f>K20+K21</f>
        <v>0.285731128446578</v>
      </c>
      <c r="L42" s="400"/>
      <c r="M42" s="401"/>
    </row>
    <row r="43" spans="2:16" customFormat="1" ht="13.35" hidden="1" customHeight="1" x14ac:dyDescent="0.2">
      <c r="I43" s="1"/>
      <c r="K43" s="402">
        <f>SUM(K10:K21)</f>
        <v>0.68208779542097497</v>
      </c>
      <c r="L43" s="403">
        <f>SUM(L10:L21)</f>
        <v>0.52710438600505127</v>
      </c>
      <c r="M43" s="404">
        <f>SUM(M10:M21)</f>
        <v>0.32024005802393241</v>
      </c>
    </row>
    <row r="44" spans="2:16" customFormat="1" ht="13.35" hidden="1" customHeight="1" x14ac:dyDescent="0.2">
      <c r="I44" s="1"/>
      <c r="K44" s="402">
        <f>SUM(K4:K9)</f>
        <v>0.1681474258370261</v>
      </c>
      <c r="L44" s="403">
        <f>SUM(L4:L9)</f>
        <v>-5.6503930490049599E-3</v>
      </c>
      <c r="M44" s="404">
        <f>SUM(M4:M9)</f>
        <v>9.399909696423206E-5</v>
      </c>
    </row>
    <row r="45" spans="2:16" customFormat="1" ht="13.35" hidden="1" customHeight="1" x14ac:dyDescent="0.2">
      <c r="I45" s="1"/>
      <c r="K45" s="405">
        <f>SUM(K22:K28)</f>
        <v>0.14976477874199903</v>
      </c>
      <c r="L45" s="406">
        <f>SUM(L22:L28)</f>
        <v>0.47854600704395361</v>
      </c>
      <c r="M45" s="407">
        <f>SUM(M22:M28)</f>
        <v>0.67966594287910342</v>
      </c>
    </row>
    <row r="46" spans="2:16" customFormat="1" ht="13.35" customHeight="1" x14ac:dyDescent="0.2">
      <c r="I46" s="1"/>
    </row>
    <row r="47" spans="2:16" customFormat="1" ht="13.35" customHeight="1" x14ac:dyDescent="0.2">
      <c r="I47" s="1"/>
    </row>
  </sheetData>
  <mergeCells count="1">
    <mergeCell ref="C3:D3"/>
  </mergeCells>
  <phoneticPr fontId="10" type="noConversion"/>
  <hyperlinks>
    <hyperlink ref="I37" location="CONTENTS!A1" display="BACK TO CONTENTS"/>
  </hyperlinks>
  <pageMargins left="0.98425196850393704" right="0.98425196850393704" top="0.98425196850393704" bottom="0.98425196850393704" header="0.51181102362204722" footer="0.5118110236220472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enableFormatConditionsCalculation="0">
    <tabColor theme="7" tint="0.39997558519241921"/>
    <pageSetUpPr fitToPage="1"/>
  </sheetPr>
  <dimension ref="A1:L22"/>
  <sheetViews>
    <sheetView showGridLines="0" zoomScaleNormal="100" zoomScaleSheetLayoutView="90" workbookViewId="0"/>
  </sheetViews>
  <sheetFormatPr defaultColWidth="9.140625" defaultRowHeight="12.75" x14ac:dyDescent="0.2"/>
  <cols>
    <col min="1" max="1" width="3.7109375" customWidth="1"/>
    <col min="2" max="2" width="0.85546875" style="2" customWidth="1"/>
    <col min="3" max="3" width="16.7109375" style="2" customWidth="1"/>
    <col min="4" max="4" width="9.7109375" style="2" customWidth="1"/>
    <col min="5" max="5" width="1.7109375" style="2" customWidth="1"/>
    <col min="6" max="7" width="9.7109375" style="2" customWidth="1"/>
    <col min="8" max="8" width="1.7109375" style="2" customWidth="1"/>
    <col min="9" max="12" width="9.7109375" style="6" customWidth="1"/>
    <col min="13" max="16384" width="9.140625" style="10"/>
  </cols>
  <sheetData>
    <row r="1" spans="1:12" customFormat="1" ht="15" customHeight="1" x14ac:dyDescent="0.2">
      <c r="B1" s="439" t="s">
        <v>550</v>
      </c>
      <c r="C1" s="311"/>
      <c r="D1" s="51"/>
      <c r="E1" s="51"/>
      <c r="F1" s="70"/>
      <c r="G1" s="70"/>
      <c r="H1" s="212"/>
      <c r="I1" s="4"/>
      <c r="J1" s="1"/>
      <c r="K1" s="1"/>
      <c r="L1" s="1"/>
    </row>
    <row r="2" spans="1:12" customFormat="1" ht="12.6" customHeight="1" x14ac:dyDescent="0.2">
      <c r="A2" s="312"/>
      <c r="B2" s="440"/>
      <c r="C2" s="946" t="s">
        <v>212</v>
      </c>
      <c r="D2" s="949">
        <v>2009</v>
      </c>
      <c r="E2" s="950"/>
      <c r="F2" s="951"/>
      <c r="G2" s="949">
        <v>2012</v>
      </c>
      <c r="H2" s="950"/>
      <c r="I2" s="951"/>
      <c r="J2" s="941" t="s">
        <v>143</v>
      </c>
      <c r="K2" s="941" t="s">
        <v>572</v>
      </c>
      <c r="L2" s="941" t="s">
        <v>573</v>
      </c>
    </row>
    <row r="3" spans="1:12" customFormat="1" ht="12.6" customHeight="1" x14ac:dyDescent="0.2">
      <c r="A3" s="27"/>
      <c r="B3" s="441"/>
      <c r="C3" s="947"/>
      <c r="D3" s="952"/>
      <c r="E3" s="953"/>
      <c r="F3" s="954"/>
      <c r="G3" s="952"/>
      <c r="H3" s="953"/>
      <c r="I3" s="954"/>
      <c r="J3" s="942"/>
      <c r="K3" s="942"/>
      <c r="L3" s="942"/>
    </row>
    <row r="4" spans="1:12" customFormat="1" ht="12.6" customHeight="1" x14ac:dyDescent="0.2">
      <c r="A4" s="27"/>
      <c r="B4" s="442"/>
      <c r="C4" s="948"/>
      <c r="D4" s="955"/>
      <c r="E4" s="956"/>
      <c r="F4" s="957"/>
      <c r="G4" s="955"/>
      <c r="H4" s="956"/>
      <c r="I4" s="957"/>
      <c r="J4" s="943"/>
      <c r="K4" s="943"/>
      <c r="L4" s="943"/>
    </row>
    <row r="5" spans="1:12" customFormat="1" ht="13.35" customHeight="1" x14ac:dyDescent="0.2">
      <c r="A5" s="48"/>
      <c r="B5" s="436"/>
      <c r="C5" s="944" t="s">
        <v>547</v>
      </c>
      <c r="D5" s="883" t="s">
        <v>304</v>
      </c>
      <c r="E5" s="708" t="s">
        <v>145</v>
      </c>
      <c r="F5" s="886">
        <v>122000</v>
      </c>
      <c r="G5" s="883" t="s">
        <v>304</v>
      </c>
      <c r="H5" s="708" t="s">
        <v>145</v>
      </c>
      <c r="I5" s="886">
        <v>150000</v>
      </c>
      <c r="J5" s="328">
        <v>0.18</v>
      </c>
      <c r="K5" s="39">
        <f>I5/F5-1</f>
        <v>0.22950819672131151</v>
      </c>
      <c r="L5" s="877"/>
    </row>
    <row r="6" spans="1:12" customFormat="1" ht="13.35" customHeight="1" x14ac:dyDescent="0.2">
      <c r="A6" s="48"/>
      <c r="B6" s="145"/>
      <c r="C6" s="945"/>
      <c r="D6" s="884">
        <f>F5+1</f>
        <v>122001</v>
      </c>
      <c r="E6" s="708" t="s">
        <v>145</v>
      </c>
      <c r="F6" s="886">
        <v>195000</v>
      </c>
      <c r="G6" s="884">
        <f>I5+1</f>
        <v>150001</v>
      </c>
      <c r="H6" s="708" t="s">
        <v>145</v>
      </c>
      <c r="I6" s="886">
        <v>235000</v>
      </c>
      <c r="J6" s="328">
        <v>0.25</v>
      </c>
      <c r="K6" s="39">
        <f>I6/F6-1</f>
        <v>0.20512820512820507</v>
      </c>
      <c r="L6" s="877"/>
    </row>
    <row r="7" spans="1:12" customFormat="1" ht="13.35" customHeight="1" x14ac:dyDescent="0.2">
      <c r="A7" s="48"/>
      <c r="B7" s="145"/>
      <c r="C7" s="338"/>
      <c r="D7" s="884">
        <f>F6+1</f>
        <v>195001</v>
      </c>
      <c r="E7" s="708" t="s">
        <v>145</v>
      </c>
      <c r="F7" s="886">
        <v>270000</v>
      </c>
      <c r="G7" s="884">
        <f>I6+1</f>
        <v>235001</v>
      </c>
      <c r="H7" s="708" t="s">
        <v>145</v>
      </c>
      <c r="I7" s="886">
        <v>325000</v>
      </c>
      <c r="J7" s="328">
        <v>0.3</v>
      </c>
      <c r="K7" s="39">
        <f>I7/F7-1</f>
        <v>0.20370370370370372</v>
      </c>
      <c r="L7" s="877"/>
    </row>
    <row r="8" spans="1:12" customFormat="1" ht="13.35" customHeight="1" x14ac:dyDescent="0.2">
      <c r="A8" s="48"/>
      <c r="B8" s="145"/>
      <c r="C8" s="338"/>
      <c r="D8" s="884">
        <f>F7+1</f>
        <v>270001</v>
      </c>
      <c r="E8" s="708" t="s">
        <v>145</v>
      </c>
      <c r="F8" s="886">
        <v>380000</v>
      </c>
      <c r="G8" s="884">
        <f>I7+1</f>
        <v>325001</v>
      </c>
      <c r="H8" s="708" t="s">
        <v>145</v>
      </c>
      <c r="I8" s="886">
        <v>455000</v>
      </c>
      <c r="J8" s="328">
        <v>0.35</v>
      </c>
      <c r="K8" s="39">
        <f>I8/F8-1</f>
        <v>0.19736842105263164</v>
      </c>
      <c r="L8" s="877"/>
    </row>
    <row r="9" spans="1:12" customFormat="1" ht="13.35" customHeight="1" x14ac:dyDescent="0.2">
      <c r="A9" s="48"/>
      <c r="B9" s="145"/>
      <c r="C9" s="338"/>
      <c r="D9" s="884">
        <f>F8+1</f>
        <v>380001</v>
      </c>
      <c r="E9" s="708" t="s">
        <v>145</v>
      </c>
      <c r="F9" s="886">
        <v>490000</v>
      </c>
      <c r="G9" s="884">
        <f>I8+1</f>
        <v>455001</v>
      </c>
      <c r="H9" s="708" t="s">
        <v>145</v>
      </c>
      <c r="I9" s="886">
        <v>580000</v>
      </c>
      <c r="J9" s="328">
        <v>0.38</v>
      </c>
      <c r="K9" s="39">
        <f>I9/F9-1</f>
        <v>0.18367346938775508</v>
      </c>
      <c r="L9" s="877"/>
    </row>
    <row r="10" spans="1:12" customFormat="1" ht="13.35" customHeight="1" x14ac:dyDescent="0.2">
      <c r="A10" s="48"/>
      <c r="B10" s="146"/>
      <c r="C10" s="434"/>
      <c r="D10" s="885">
        <f>F9+1</f>
        <v>490001</v>
      </c>
      <c r="E10" s="710"/>
      <c r="F10" s="887" t="s">
        <v>144</v>
      </c>
      <c r="G10" s="885">
        <f>I9+1</f>
        <v>580001</v>
      </c>
      <c r="H10" s="710"/>
      <c r="I10" s="888" t="s">
        <v>144</v>
      </c>
      <c r="J10" s="329">
        <v>0.4</v>
      </c>
      <c r="K10" s="327"/>
      <c r="L10" s="878"/>
    </row>
    <row r="11" spans="1:12" customFormat="1" ht="13.35" customHeight="1" x14ac:dyDescent="0.2">
      <c r="A11" s="313"/>
      <c r="B11" s="436"/>
      <c r="C11" s="433" t="s">
        <v>146</v>
      </c>
      <c r="D11" s="71"/>
      <c r="E11" s="71"/>
      <c r="F11" s="72"/>
      <c r="G11" s="71"/>
      <c r="H11" s="71"/>
      <c r="I11" s="72"/>
      <c r="J11" s="72"/>
      <c r="K11" s="72"/>
      <c r="L11" s="879"/>
    </row>
    <row r="12" spans="1:12" customFormat="1" ht="13.35" customHeight="1" x14ac:dyDescent="0.2">
      <c r="A12" s="312"/>
      <c r="B12" s="437"/>
      <c r="C12" s="435" t="s">
        <v>147</v>
      </c>
      <c r="D12" s="38"/>
      <c r="E12" s="38"/>
      <c r="F12" s="330">
        <v>8280</v>
      </c>
      <c r="G12" s="38"/>
      <c r="H12" s="38"/>
      <c r="I12" s="330">
        <v>10755</v>
      </c>
      <c r="J12" s="328"/>
      <c r="K12" s="39"/>
      <c r="L12" s="880">
        <f>I12/F12-1</f>
        <v>0.29891304347826098</v>
      </c>
    </row>
    <row r="13" spans="1:12" customFormat="1" ht="13.35" customHeight="1" x14ac:dyDescent="0.2">
      <c r="A13" s="312"/>
      <c r="B13" s="437"/>
      <c r="C13" s="435" t="s">
        <v>148</v>
      </c>
      <c r="D13" s="38"/>
      <c r="E13" s="38"/>
      <c r="F13" s="330">
        <v>5040</v>
      </c>
      <c r="G13" s="38"/>
      <c r="H13" s="38"/>
      <c r="I13" s="330">
        <v>6012</v>
      </c>
      <c r="J13" s="328"/>
      <c r="K13" s="39"/>
      <c r="L13" s="880">
        <f t="shared" ref="L13:L16" si="0">I13/F13-1</f>
        <v>0.19285714285714284</v>
      </c>
    </row>
    <row r="14" spans="1:12" customFormat="1" ht="13.35" customHeight="1" x14ac:dyDescent="0.2">
      <c r="A14" s="312"/>
      <c r="B14" s="437"/>
      <c r="C14" s="484" t="s">
        <v>393</v>
      </c>
      <c r="D14" s="38"/>
      <c r="E14" s="38"/>
      <c r="F14" s="330" t="s">
        <v>331</v>
      </c>
      <c r="G14" s="38"/>
      <c r="H14" s="38"/>
      <c r="I14" s="330">
        <v>2000</v>
      </c>
      <c r="J14" s="328"/>
      <c r="K14" s="477"/>
      <c r="L14" s="881" t="s">
        <v>331</v>
      </c>
    </row>
    <row r="15" spans="1:12" customFormat="1" ht="13.35" customHeight="1" x14ac:dyDescent="0.2">
      <c r="A15" s="312"/>
      <c r="B15" s="436"/>
      <c r="C15" s="433" t="s">
        <v>149</v>
      </c>
      <c r="D15" s="38"/>
      <c r="E15" s="38"/>
      <c r="F15" s="330"/>
      <c r="G15" s="38"/>
      <c r="H15" s="38"/>
      <c r="I15" s="330"/>
      <c r="J15" s="328"/>
      <c r="K15" s="39"/>
      <c r="L15" s="880"/>
    </row>
    <row r="16" spans="1:12" customFormat="1" ht="13.35" customHeight="1" x14ac:dyDescent="0.2">
      <c r="A16" s="312"/>
      <c r="B16" s="437"/>
      <c r="C16" s="435" t="s">
        <v>150</v>
      </c>
      <c r="D16" s="38"/>
      <c r="E16" s="38"/>
      <c r="F16" s="330">
        <v>46000</v>
      </c>
      <c r="G16" s="38"/>
      <c r="H16" s="38"/>
      <c r="I16" s="330">
        <v>59750</v>
      </c>
      <c r="J16" s="328"/>
      <c r="K16" s="39"/>
      <c r="L16" s="880">
        <f t="shared" si="0"/>
        <v>0.29891304347826098</v>
      </c>
    </row>
    <row r="17" spans="1:12" customFormat="1" ht="13.35" customHeight="1" x14ac:dyDescent="0.2">
      <c r="A17" s="312"/>
      <c r="B17" s="437"/>
      <c r="C17" s="435" t="s">
        <v>351</v>
      </c>
      <c r="D17" s="38"/>
      <c r="E17" s="38"/>
      <c r="F17" s="330">
        <v>74000</v>
      </c>
      <c r="G17" s="38"/>
      <c r="H17" s="38"/>
      <c r="I17" s="330">
        <v>93150</v>
      </c>
      <c r="J17" s="328"/>
      <c r="K17" s="39"/>
      <c r="L17" s="880">
        <f t="shared" ref="L17" si="1">I17/F17-1</f>
        <v>0.25878378378378386</v>
      </c>
    </row>
    <row r="18" spans="1:12" customFormat="1" ht="13.35" customHeight="1" x14ac:dyDescent="0.2">
      <c r="A18" s="312"/>
      <c r="B18" s="438"/>
      <c r="C18" s="485" t="s">
        <v>394</v>
      </c>
      <c r="D18" s="40"/>
      <c r="E18" s="40"/>
      <c r="F18" s="478" t="s">
        <v>331</v>
      </c>
      <c r="G18" s="40"/>
      <c r="H18" s="40"/>
      <c r="I18" s="476">
        <v>104261</v>
      </c>
      <c r="J18" s="329"/>
      <c r="K18" s="479"/>
      <c r="L18" s="882" t="s">
        <v>331</v>
      </c>
    </row>
    <row r="19" spans="1:12" customFormat="1" ht="13.35" customHeight="1" x14ac:dyDescent="0.2">
      <c r="A19" s="27"/>
      <c r="B19" s="29" t="s">
        <v>485</v>
      </c>
      <c r="C19" s="480"/>
      <c r="D19" s="38"/>
      <c r="E19" s="38"/>
      <c r="F19" s="37"/>
      <c r="G19" s="38"/>
      <c r="H19" s="38"/>
      <c r="I19" s="481"/>
      <c r="J19" s="482"/>
      <c r="K19" s="482"/>
      <c r="L19" s="483"/>
    </row>
    <row r="20" spans="1:12" customFormat="1" ht="13.35" customHeight="1" x14ac:dyDescent="0.2">
      <c r="A20" s="3"/>
      <c r="B20" s="2"/>
      <c r="C20" s="2"/>
      <c r="D20" s="30"/>
      <c r="E20" s="30"/>
      <c r="F20" s="34"/>
      <c r="G20" s="30"/>
      <c r="H20" s="30"/>
      <c r="I20" s="34"/>
      <c r="J20" s="35"/>
      <c r="K20" s="35"/>
      <c r="L20" s="36"/>
    </row>
    <row r="22" spans="1:12" x14ac:dyDescent="0.2">
      <c r="F22" s="352" t="s">
        <v>371</v>
      </c>
    </row>
  </sheetData>
  <mergeCells count="7">
    <mergeCell ref="L2:L4"/>
    <mergeCell ref="C5:C6"/>
    <mergeCell ref="C2:C4"/>
    <mergeCell ref="D2:F4"/>
    <mergeCell ref="G2:I4"/>
    <mergeCell ref="J2:J4"/>
    <mergeCell ref="K2:K4"/>
  </mergeCells>
  <phoneticPr fontId="10" type="noConversion"/>
  <hyperlinks>
    <hyperlink ref="F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D5 G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7" tint="0.79998168889431442"/>
    <pageSetUpPr fitToPage="1"/>
  </sheetPr>
  <dimension ref="B1:R73"/>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6.28515625" style="2" customWidth="1"/>
    <col min="5" max="7" width="9.5703125" style="2" customWidth="1"/>
    <col min="8" max="8" width="9.5703125" style="14" customWidth="1"/>
    <col min="9" max="16" width="9.5703125" style="6" customWidth="1"/>
    <col min="17" max="16384" width="9.140625" style="10"/>
  </cols>
  <sheetData>
    <row r="1" spans="2:18" s="8" customFormat="1" ht="15" customHeight="1" x14ac:dyDescent="0.2">
      <c r="B1" s="439" t="s">
        <v>389</v>
      </c>
      <c r="C1" s="311"/>
      <c r="D1" s="311"/>
      <c r="E1" s="355"/>
      <c r="F1" s="355"/>
      <c r="G1" s="355"/>
      <c r="H1" s="356"/>
      <c r="I1" s="357"/>
      <c r="J1" s="358"/>
      <c r="K1" s="357"/>
      <c r="L1" s="357"/>
      <c r="M1" s="357"/>
      <c r="N1" s="357"/>
      <c r="O1" s="357"/>
      <c r="P1" s="357"/>
      <c r="Q1" s="359"/>
    </row>
    <row r="2" spans="2:18" s="8" customFormat="1" ht="15" customHeight="1" x14ac:dyDescent="0.2">
      <c r="B2" s="463"/>
      <c r="C2" s="464" t="s">
        <v>168</v>
      </c>
      <c r="D2" s="526"/>
      <c r="E2" s="466" t="s">
        <v>576</v>
      </c>
      <c r="F2" s="467"/>
      <c r="G2" s="468"/>
      <c r="H2" s="469" t="s">
        <v>577</v>
      </c>
      <c r="I2" s="467"/>
      <c r="J2" s="468"/>
      <c r="K2" s="469" t="s">
        <v>578</v>
      </c>
      <c r="L2" s="467"/>
      <c r="M2" s="468"/>
      <c r="N2" s="469" t="s">
        <v>579</v>
      </c>
      <c r="O2" s="467"/>
      <c r="P2" s="468"/>
      <c r="R2" s="285"/>
    </row>
    <row r="3" spans="2:18" ht="48" customHeight="1" x14ac:dyDescent="0.2">
      <c r="B3" s="470"/>
      <c r="C3" s="1028" t="s">
        <v>364</v>
      </c>
      <c r="D3" s="1030"/>
      <c r="E3" s="506" t="s">
        <v>17</v>
      </c>
      <c r="F3" s="506" t="s">
        <v>67</v>
      </c>
      <c r="G3" s="507" t="s">
        <v>357</v>
      </c>
      <c r="H3" s="506" t="s">
        <v>17</v>
      </c>
      <c r="I3" s="506" t="s">
        <v>67</v>
      </c>
      <c r="J3" s="507" t="s">
        <v>357</v>
      </c>
      <c r="K3" s="506" t="s">
        <v>17</v>
      </c>
      <c r="L3" s="506" t="s">
        <v>67</v>
      </c>
      <c r="M3" s="507" t="s">
        <v>357</v>
      </c>
      <c r="N3" s="506" t="s">
        <v>17</v>
      </c>
      <c r="O3" s="506" t="s">
        <v>67</v>
      </c>
      <c r="P3" s="507" t="s">
        <v>357</v>
      </c>
      <c r="R3" s="159"/>
    </row>
    <row r="4" spans="2:18" ht="13.35" customHeight="1" x14ac:dyDescent="0.2">
      <c r="B4" s="48"/>
      <c r="C4" s="16" t="s">
        <v>18</v>
      </c>
      <c r="D4" s="338" t="s">
        <v>43</v>
      </c>
      <c r="E4" s="708">
        <v>65057</v>
      </c>
      <c r="F4" s="708">
        <v>-19454.050324</v>
      </c>
      <c r="G4" s="709">
        <v>-18681.174146000001</v>
      </c>
      <c r="H4" s="708">
        <v>65288</v>
      </c>
      <c r="I4" s="708">
        <v>-20562.764094999999</v>
      </c>
      <c r="J4" s="709">
        <v>-19768.077256</v>
      </c>
      <c r="K4" s="708">
        <v>60254</v>
      </c>
      <c r="L4" s="708">
        <v>-20930.355629999998</v>
      </c>
      <c r="M4" s="709">
        <v>-20069.826921</v>
      </c>
      <c r="N4" s="708">
        <v>50798</v>
      </c>
      <c r="O4" s="708">
        <v>-20087.464129</v>
      </c>
      <c r="P4" s="709">
        <v>-19253.371594</v>
      </c>
    </row>
    <row r="5" spans="2:18" s="50" customFormat="1" ht="13.35" customHeight="1" x14ac:dyDescent="0.2">
      <c r="B5" s="48"/>
      <c r="C5" s="16" t="s">
        <v>19</v>
      </c>
      <c r="D5" s="339" t="s">
        <v>129</v>
      </c>
      <c r="E5" s="708">
        <v>230656</v>
      </c>
      <c r="F5" s="708">
        <v>-100.90955</v>
      </c>
      <c r="G5" s="709">
        <v>0</v>
      </c>
      <c r="H5" s="708">
        <v>244645</v>
      </c>
      <c r="I5" s="708">
        <v>-138.48879600000001</v>
      </c>
      <c r="J5" s="709">
        <v>0</v>
      </c>
      <c r="K5" s="708">
        <v>189906</v>
      </c>
      <c r="L5" s="708">
        <v>-119.468283</v>
      </c>
      <c r="M5" s="709">
        <v>0</v>
      </c>
      <c r="N5" s="708">
        <v>140615</v>
      </c>
      <c r="O5" s="708">
        <v>-113.771078</v>
      </c>
      <c r="P5" s="709">
        <v>0</v>
      </c>
      <c r="R5" s="159"/>
    </row>
    <row r="6" spans="2:18" ht="13.35" customHeight="1" x14ac:dyDescent="0.2">
      <c r="B6" s="48"/>
      <c r="C6" s="16" t="s">
        <v>20</v>
      </c>
      <c r="D6" s="338" t="s">
        <v>44</v>
      </c>
      <c r="E6" s="708">
        <v>160349</v>
      </c>
      <c r="F6" s="708">
        <v>1219.276781</v>
      </c>
      <c r="G6" s="709">
        <v>1550.666013</v>
      </c>
      <c r="H6" s="708">
        <v>185288</v>
      </c>
      <c r="I6" s="708">
        <v>1414.005136</v>
      </c>
      <c r="J6" s="709">
        <v>1769.5697849999999</v>
      </c>
      <c r="K6" s="708">
        <v>196433</v>
      </c>
      <c r="L6" s="708">
        <v>1554.6752879999999</v>
      </c>
      <c r="M6" s="709">
        <v>1918.2408740000001</v>
      </c>
      <c r="N6" s="708">
        <v>185875</v>
      </c>
      <c r="O6" s="708">
        <v>1430.664006</v>
      </c>
      <c r="P6" s="709">
        <v>1766.860956</v>
      </c>
      <c r="R6" s="159"/>
    </row>
    <row r="7" spans="2:18" ht="13.35" customHeight="1" x14ac:dyDescent="0.2">
      <c r="B7" s="48"/>
      <c r="C7" s="16" t="s">
        <v>21</v>
      </c>
      <c r="D7" s="338" t="s">
        <v>45</v>
      </c>
      <c r="E7" s="708">
        <v>84077</v>
      </c>
      <c r="F7" s="708">
        <v>1871.159973</v>
      </c>
      <c r="G7" s="709">
        <v>2114.4879470000001</v>
      </c>
      <c r="H7" s="708">
        <v>91478</v>
      </c>
      <c r="I7" s="708">
        <v>2042.77613</v>
      </c>
      <c r="J7" s="709">
        <v>2299.9969120000001</v>
      </c>
      <c r="K7" s="708">
        <v>101502</v>
      </c>
      <c r="L7" s="708">
        <v>2294.2757299999998</v>
      </c>
      <c r="M7" s="709">
        <v>2550.1246839999999</v>
      </c>
      <c r="N7" s="708">
        <v>88023</v>
      </c>
      <c r="O7" s="708">
        <v>1978.3784860000001</v>
      </c>
      <c r="P7" s="709">
        <v>2214.9058289999998</v>
      </c>
      <c r="R7" s="21"/>
    </row>
    <row r="8" spans="2:18" ht="13.35" customHeight="1" x14ac:dyDescent="0.2">
      <c r="B8" s="48"/>
      <c r="C8" s="16" t="s">
        <v>22</v>
      </c>
      <c r="D8" s="338" t="s">
        <v>46</v>
      </c>
      <c r="E8" s="708">
        <v>98171</v>
      </c>
      <c r="F8" s="708">
        <v>3124.1715650000001</v>
      </c>
      <c r="G8" s="709">
        <v>3462.9671589999998</v>
      </c>
      <c r="H8" s="708">
        <v>103715</v>
      </c>
      <c r="I8" s="708">
        <v>3301.3144990000001</v>
      </c>
      <c r="J8" s="709">
        <v>3650.9667380000001</v>
      </c>
      <c r="K8" s="708">
        <v>109374</v>
      </c>
      <c r="L8" s="708">
        <v>3510.4662130000002</v>
      </c>
      <c r="M8" s="709">
        <v>3848.581373</v>
      </c>
      <c r="N8" s="708">
        <v>96238</v>
      </c>
      <c r="O8" s="708">
        <v>3069.2381930000001</v>
      </c>
      <c r="P8" s="709">
        <v>3376.6519819999999</v>
      </c>
    </row>
    <row r="9" spans="2:18" ht="13.35" customHeight="1" x14ac:dyDescent="0.2">
      <c r="B9" s="48"/>
      <c r="C9" s="16" t="s">
        <v>23</v>
      </c>
      <c r="D9" s="338" t="s">
        <v>47</v>
      </c>
      <c r="E9" s="708">
        <v>146753</v>
      </c>
      <c r="F9" s="708">
        <v>6130.4624240000003</v>
      </c>
      <c r="G9" s="709">
        <v>6655.8386860000001</v>
      </c>
      <c r="H9" s="708">
        <v>121684</v>
      </c>
      <c r="I9" s="708">
        <v>5033.9591099999998</v>
      </c>
      <c r="J9" s="709">
        <v>5511.8690370000004</v>
      </c>
      <c r="K9" s="708">
        <v>122363</v>
      </c>
      <c r="L9" s="708">
        <v>5074.9645259999998</v>
      </c>
      <c r="M9" s="709">
        <v>5531.1488429999999</v>
      </c>
      <c r="N9" s="708">
        <v>109047</v>
      </c>
      <c r="O9" s="708">
        <v>4510.7193710000001</v>
      </c>
      <c r="P9" s="709">
        <v>4921.928465</v>
      </c>
    </row>
    <row r="10" spans="2:18" s="50" customFormat="1" ht="13.35" customHeight="1" x14ac:dyDescent="0.2">
      <c r="B10" s="48"/>
      <c r="C10" s="16" t="s">
        <v>24</v>
      </c>
      <c r="D10" s="338" t="s">
        <v>48</v>
      </c>
      <c r="E10" s="708">
        <v>150757</v>
      </c>
      <c r="F10" s="708">
        <v>7512.0479880000003</v>
      </c>
      <c r="G10" s="709">
        <v>8344.6996880000006</v>
      </c>
      <c r="H10" s="708">
        <v>176272</v>
      </c>
      <c r="I10" s="708">
        <v>8990.7166280000001</v>
      </c>
      <c r="J10" s="709">
        <v>9743.0523799999992</v>
      </c>
      <c r="K10" s="708">
        <v>172102</v>
      </c>
      <c r="L10" s="708">
        <v>8861.2959210000008</v>
      </c>
      <c r="M10" s="709">
        <v>9560.1930799999991</v>
      </c>
      <c r="N10" s="708">
        <v>142578</v>
      </c>
      <c r="O10" s="708">
        <v>7374.5292300000001</v>
      </c>
      <c r="P10" s="709">
        <v>7956.509102</v>
      </c>
    </row>
    <row r="11" spans="2:18" s="1" customFormat="1" ht="13.35" customHeight="1" x14ac:dyDescent="0.2">
      <c r="B11" s="26"/>
      <c r="C11" s="16" t="s">
        <v>25</v>
      </c>
      <c r="D11" s="338" t="s">
        <v>49</v>
      </c>
      <c r="E11" s="708">
        <v>192245</v>
      </c>
      <c r="F11" s="708">
        <v>11252.542453</v>
      </c>
      <c r="G11" s="709">
        <v>12526.211080999999</v>
      </c>
      <c r="H11" s="708">
        <v>186452</v>
      </c>
      <c r="I11" s="708">
        <v>10999.612184</v>
      </c>
      <c r="J11" s="709">
        <v>12162.001586</v>
      </c>
      <c r="K11" s="708">
        <v>177316</v>
      </c>
      <c r="L11" s="708">
        <v>10520.576660000001</v>
      </c>
      <c r="M11" s="709">
        <v>11540.021508</v>
      </c>
      <c r="N11" s="708">
        <v>155935</v>
      </c>
      <c r="O11" s="708">
        <v>9231.3107419999997</v>
      </c>
      <c r="P11" s="709">
        <v>10160.606446</v>
      </c>
    </row>
    <row r="12" spans="2:18" s="1" customFormat="1" ht="13.35" customHeight="1" x14ac:dyDescent="0.2">
      <c r="B12" s="26"/>
      <c r="C12" s="16" t="s">
        <v>26</v>
      </c>
      <c r="D12" s="338" t="s">
        <v>50</v>
      </c>
      <c r="E12" s="708">
        <v>197606</v>
      </c>
      <c r="F12" s="708">
        <v>13370.822878999999</v>
      </c>
      <c r="G12" s="709">
        <v>14817.310975</v>
      </c>
      <c r="H12" s="708">
        <v>229324</v>
      </c>
      <c r="I12" s="708">
        <v>15508.069831000001</v>
      </c>
      <c r="J12" s="709">
        <v>17174.852325</v>
      </c>
      <c r="K12" s="708">
        <v>197055</v>
      </c>
      <c r="L12" s="708">
        <v>13378.183413999999</v>
      </c>
      <c r="M12" s="709">
        <v>14795.693080999999</v>
      </c>
      <c r="N12" s="708">
        <v>171674</v>
      </c>
      <c r="O12" s="708">
        <v>11641.493485999999</v>
      </c>
      <c r="P12" s="709">
        <v>12888.958989999999</v>
      </c>
    </row>
    <row r="13" spans="2:18" s="1" customFormat="1" ht="13.35" customHeight="1" x14ac:dyDescent="0.2">
      <c r="B13" s="26"/>
      <c r="C13" s="16" t="s">
        <v>27</v>
      </c>
      <c r="D13" s="338" t="s">
        <v>51</v>
      </c>
      <c r="E13" s="708">
        <v>188171</v>
      </c>
      <c r="F13" s="708">
        <v>14487.182763000001</v>
      </c>
      <c r="G13" s="709">
        <v>16003.140762999999</v>
      </c>
      <c r="H13" s="708">
        <v>214122</v>
      </c>
      <c r="I13" s="708">
        <v>16459.442304</v>
      </c>
      <c r="J13" s="709">
        <v>18189.026255000001</v>
      </c>
      <c r="K13" s="708">
        <v>207541</v>
      </c>
      <c r="L13" s="708">
        <v>15765.502966</v>
      </c>
      <c r="M13" s="709">
        <v>17643.95289</v>
      </c>
      <c r="N13" s="708">
        <v>186445</v>
      </c>
      <c r="O13" s="708">
        <v>14305.895986</v>
      </c>
      <c r="P13" s="709">
        <v>15880.906457999999</v>
      </c>
    </row>
    <row r="14" spans="2:18" s="1" customFormat="1" ht="13.35" customHeight="1" x14ac:dyDescent="0.2">
      <c r="B14" s="26"/>
      <c r="C14" s="16" t="s">
        <v>28</v>
      </c>
      <c r="D14" s="338" t="s">
        <v>52</v>
      </c>
      <c r="E14" s="708">
        <v>180445</v>
      </c>
      <c r="F14" s="708">
        <v>15545.783464</v>
      </c>
      <c r="G14" s="709">
        <v>17145.216417</v>
      </c>
      <c r="H14" s="708">
        <v>195668</v>
      </c>
      <c r="I14" s="708">
        <v>16867.621889999999</v>
      </c>
      <c r="J14" s="709">
        <v>18607.115279000001</v>
      </c>
      <c r="K14" s="708">
        <v>201987</v>
      </c>
      <c r="L14" s="708">
        <v>16838.820760999999</v>
      </c>
      <c r="M14" s="709">
        <v>19185.118891999999</v>
      </c>
      <c r="N14" s="708">
        <v>193917</v>
      </c>
      <c r="O14" s="708">
        <v>16417.375038999999</v>
      </c>
      <c r="P14" s="709">
        <v>18424.021013000001</v>
      </c>
    </row>
    <row r="15" spans="2:18" customFormat="1" ht="13.35" customHeight="1" x14ac:dyDescent="0.2">
      <c r="B15" s="26"/>
      <c r="C15" s="16" t="s">
        <v>29</v>
      </c>
      <c r="D15" s="338" t="s">
        <v>53</v>
      </c>
      <c r="E15" s="708">
        <v>185193</v>
      </c>
      <c r="F15" s="708">
        <v>17693.626816</v>
      </c>
      <c r="G15" s="709">
        <v>19463.396495000001</v>
      </c>
      <c r="H15" s="708">
        <v>188607</v>
      </c>
      <c r="I15" s="708">
        <v>17957.304219000001</v>
      </c>
      <c r="J15" s="709">
        <v>19793.764027000001</v>
      </c>
      <c r="K15" s="708">
        <v>185857</v>
      </c>
      <c r="L15" s="708">
        <v>17055.096645000001</v>
      </c>
      <c r="M15" s="709">
        <v>19514.873992000001</v>
      </c>
      <c r="N15" s="708">
        <v>189885</v>
      </c>
      <c r="O15" s="708">
        <v>17465.324478999999</v>
      </c>
      <c r="P15" s="709">
        <v>19930.232542999998</v>
      </c>
    </row>
    <row r="16" spans="2:18" customFormat="1" ht="13.35" customHeight="1" x14ac:dyDescent="0.2">
      <c r="B16" s="26"/>
      <c r="C16" s="16" t="s">
        <v>30</v>
      </c>
      <c r="D16" s="338" t="s">
        <v>54</v>
      </c>
      <c r="E16" s="708">
        <v>200230</v>
      </c>
      <c r="F16" s="708">
        <v>20952.478192999999</v>
      </c>
      <c r="G16" s="709">
        <v>23048.875655</v>
      </c>
      <c r="H16" s="708">
        <v>191984</v>
      </c>
      <c r="I16" s="708">
        <v>20103.096431000002</v>
      </c>
      <c r="J16" s="709">
        <v>22121.873084999999</v>
      </c>
      <c r="K16" s="708">
        <v>179857</v>
      </c>
      <c r="L16" s="708">
        <v>18131.705213000001</v>
      </c>
      <c r="M16" s="709">
        <v>20704.945853000001</v>
      </c>
      <c r="N16" s="708">
        <v>180807</v>
      </c>
      <c r="O16" s="708">
        <v>18153.267313</v>
      </c>
      <c r="P16" s="709">
        <v>20815.678897999998</v>
      </c>
    </row>
    <row r="17" spans="2:16" customFormat="1" ht="13.35" customHeight="1" x14ac:dyDescent="0.2">
      <c r="B17" s="26"/>
      <c r="C17" s="16" t="s">
        <v>31</v>
      </c>
      <c r="D17" s="338" t="s">
        <v>55</v>
      </c>
      <c r="E17" s="708">
        <v>183642</v>
      </c>
      <c r="F17" s="708">
        <v>20943.029570999999</v>
      </c>
      <c r="G17" s="709">
        <v>22941.105307000002</v>
      </c>
      <c r="H17" s="708">
        <v>191301</v>
      </c>
      <c r="I17" s="708">
        <v>21779.376516</v>
      </c>
      <c r="J17" s="709">
        <v>23912.75819</v>
      </c>
      <c r="K17" s="708">
        <v>168886</v>
      </c>
      <c r="L17" s="708">
        <v>18511.489139000001</v>
      </c>
      <c r="M17" s="709">
        <v>21112.070059000001</v>
      </c>
      <c r="N17" s="708">
        <v>168820</v>
      </c>
      <c r="O17" s="708">
        <v>18404.690057</v>
      </c>
      <c r="P17" s="709">
        <v>21088.802667</v>
      </c>
    </row>
    <row r="18" spans="2:16" customFormat="1" ht="13.35" customHeight="1" x14ac:dyDescent="0.2">
      <c r="B18" s="26"/>
      <c r="C18" s="16" t="s">
        <v>32</v>
      </c>
      <c r="D18" s="338" t="s">
        <v>56</v>
      </c>
      <c r="E18" s="708">
        <v>174925</v>
      </c>
      <c r="F18" s="708">
        <v>21566.340219000002</v>
      </c>
      <c r="G18" s="709">
        <v>23635.764220000001</v>
      </c>
      <c r="H18" s="708">
        <v>176686</v>
      </c>
      <c r="I18" s="708">
        <v>21704.292234</v>
      </c>
      <c r="J18" s="709">
        <v>23839.740787999999</v>
      </c>
      <c r="K18" s="708">
        <v>163769</v>
      </c>
      <c r="L18" s="708">
        <v>19434.325857</v>
      </c>
      <c r="M18" s="709">
        <v>22109.790315999999</v>
      </c>
      <c r="N18" s="708">
        <v>158996</v>
      </c>
      <c r="O18" s="708">
        <v>18817.895991000001</v>
      </c>
      <c r="P18" s="709">
        <v>21464.225880999998</v>
      </c>
    </row>
    <row r="19" spans="2:16" customFormat="1" ht="13.35" customHeight="1" x14ac:dyDescent="0.2">
      <c r="B19" s="26"/>
      <c r="C19" s="16" t="s">
        <v>33</v>
      </c>
      <c r="D19" s="338" t="s">
        <v>57</v>
      </c>
      <c r="E19" s="708">
        <v>211864</v>
      </c>
      <c r="F19" s="708">
        <v>27895.784897000001</v>
      </c>
      <c r="G19" s="709">
        <v>30724.858285999999</v>
      </c>
      <c r="H19" s="708">
        <v>161343</v>
      </c>
      <c r="I19" s="708">
        <v>21269.401580999998</v>
      </c>
      <c r="J19" s="709">
        <v>23378.750548</v>
      </c>
      <c r="K19" s="708">
        <v>168480</v>
      </c>
      <c r="L19" s="708">
        <v>21385.833984000001</v>
      </c>
      <c r="M19" s="709">
        <v>24455.806676</v>
      </c>
      <c r="N19" s="708">
        <v>155559</v>
      </c>
      <c r="O19" s="708">
        <v>19767.109696</v>
      </c>
      <c r="P19" s="709">
        <v>22559.374917000001</v>
      </c>
    </row>
    <row r="20" spans="2:16" customFormat="1" ht="13.35" customHeight="1" x14ac:dyDescent="0.2">
      <c r="B20" s="26"/>
      <c r="C20" s="16" t="s">
        <v>34</v>
      </c>
      <c r="D20" s="338" t="s">
        <v>58</v>
      </c>
      <c r="E20" s="708">
        <v>691411</v>
      </c>
      <c r="F20" s="708">
        <v>108547.435315</v>
      </c>
      <c r="G20" s="709">
        <v>119555.250178</v>
      </c>
      <c r="H20" s="708">
        <v>736222</v>
      </c>
      <c r="I20" s="708">
        <v>115904.307363</v>
      </c>
      <c r="J20" s="709">
        <v>127827.8352</v>
      </c>
      <c r="K20" s="708">
        <v>740911</v>
      </c>
      <c r="L20" s="708">
        <v>112976.715138</v>
      </c>
      <c r="M20" s="709">
        <v>128918.408996</v>
      </c>
      <c r="N20" s="708">
        <v>711147</v>
      </c>
      <c r="O20" s="708">
        <v>107890.895487</v>
      </c>
      <c r="P20" s="709">
        <v>123548.690355</v>
      </c>
    </row>
    <row r="21" spans="2:16" customFormat="1" ht="13.35" customHeight="1" x14ac:dyDescent="0.2">
      <c r="B21" s="26"/>
      <c r="C21" s="16" t="s">
        <v>35</v>
      </c>
      <c r="D21" s="338" t="s">
        <v>59</v>
      </c>
      <c r="E21" s="708">
        <v>632929</v>
      </c>
      <c r="F21" s="708">
        <v>138548.32317600001</v>
      </c>
      <c r="G21" s="709">
        <v>153220.64763399999</v>
      </c>
      <c r="H21" s="708">
        <v>743913</v>
      </c>
      <c r="I21" s="708">
        <v>161827.213938</v>
      </c>
      <c r="J21" s="709">
        <v>179143.830434</v>
      </c>
      <c r="K21" s="708">
        <v>902802</v>
      </c>
      <c r="L21" s="708">
        <v>191084.868128</v>
      </c>
      <c r="M21" s="709">
        <v>218719.957023</v>
      </c>
      <c r="N21" s="708">
        <v>960971</v>
      </c>
      <c r="O21" s="708">
        <v>204295.04551200001</v>
      </c>
      <c r="P21" s="709">
        <v>234564.58196700001</v>
      </c>
    </row>
    <row r="22" spans="2:16" customFormat="1" ht="13.35" customHeight="1" x14ac:dyDescent="0.2">
      <c r="B22" s="26"/>
      <c r="C22" s="16" t="s">
        <v>36</v>
      </c>
      <c r="D22" s="338" t="s">
        <v>60</v>
      </c>
      <c r="E22" s="708">
        <v>287911</v>
      </c>
      <c r="F22" s="708">
        <v>88965.172856999998</v>
      </c>
      <c r="G22" s="709">
        <v>99243.407498999994</v>
      </c>
      <c r="H22" s="708">
        <v>314990</v>
      </c>
      <c r="I22" s="708">
        <v>97313.215230999995</v>
      </c>
      <c r="J22" s="709">
        <v>108516.79928000001</v>
      </c>
      <c r="K22" s="708">
        <v>371492</v>
      </c>
      <c r="L22" s="708">
        <v>113087.225512</v>
      </c>
      <c r="M22" s="709">
        <v>128042.078203</v>
      </c>
      <c r="N22" s="708">
        <v>408923</v>
      </c>
      <c r="O22" s="708">
        <v>123886.85598399999</v>
      </c>
      <c r="P22" s="709">
        <v>140718.21602600001</v>
      </c>
    </row>
    <row r="23" spans="2:16" customFormat="1" ht="13.35" customHeight="1" x14ac:dyDescent="0.2">
      <c r="B23" s="26"/>
      <c r="C23" s="16" t="s">
        <v>37</v>
      </c>
      <c r="D23" s="338" t="s">
        <v>61</v>
      </c>
      <c r="E23" s="708">
        <v>152990</v>
      </c>
      <c r="F23" s="708">
        <v>60781.895750999996</v>
      </c>
      <c r="G23" s="709">
        <v>68129.531386999995</v>
      </c>
      <c r="H23" s="708">
        <v>166105</v>
      </c>
      <c r="I23" s="708">
        <v>65867.030381000004</v>
      </c>
      <c r="J23" s="709">
        <v>73926.399126000004</v>
      </c>
      <c r="K23" s="708">
        <v>203496</v>
      </c>
      <c r="L23" s="708">
        <v>80067.930064</v>
      </c>
      <c r="M23" s="709">
        <v>90537.966841999994</v>
      </c>
      <c r="N23" s="708">
        <v>224951</v>
      </c>
      <c r="O23" s="708">
        <v>88483.018286000006</v>
      </c>
      <c r="P23" s="709">
        <v>100200.087288</v>
      </c>
    </row>
    <row r="24" spans="2:16" customFormat="1" ht="13.35" customHeight="1" x14ac:dyDescent="0.2">
      <c r="B24" s="26"/>
      <c r="C24" s="16" t="s">
        <v>38</v>
      </c>
      <c r="D24" s="338" t="s">
        <v>62</v>
      </c>
      <c r="E24" s="708">
        <v>171307</v>
      </c>
      <c r="F24" s="708">
        <v>91800.503282999998</v>
      </c>
      <c r="G24" s="709">
        <v>102855.71891</v>
      </c>
      <c r="H24" s="708">
        <v>186089</v>
      </c>
      <c r="I24" s="708">
        <v>99861.524774000005</v>
      </c>
      <c r="J24" s="709">
        <v>112087.606822</v>
      </c>
      <c r="K24" s="708">
        <v>218869</v>
      </c>
      <c r="L24" s="708">
        <v>117011.97859499999</v>
      </c>
      <c r="M24" s="709">
        <v>131927.31675299999</v>
      </c>
      <c r="N24" s="708">
        <v>244976</v>
      </c>
      <c r="O24" s="708">
        <v>131085.46109699999</v>
      </c>
      <c r="P24" s="709">
        <v>147758.45973800001</v>
      </c>
    </row>
    <row r="25" spans="2:16" customFormat="1" ht="13.35" customHeight="1" x14ac:dyDescent="0.2">
      <c r="B25" s="26"/>
      <c r="C25" s="16" t="s">
        <v>39</v>
      </c>
      <c r="D25" s="338" t="s">
        <v>63</v>
      </c>
      <c r="E25" s="708">
        <v>58425</v>
      </c>
      <c r="F25" s="708">
        <v>45327.995794000002</v>
      </c>
      <c r="G25" s="709">
        <v>50034.379873999998</v>
      </c>
      <c r="H25" s="708">
        <v>62751</v>
      </c>
      <c r="I25" s="708">
        <v>48282.315369000004</v>
      </c>
      <c r="J25" s="709">
        <v>53675.893713999998</v>
      </c>
      <c r="K25" s="708">
        <v>77138</v>
      </c>
      <c r="L25" s="708">
        <v>59083.202459</v>
      </c>
      <c r="M25" s="709">
        <v>65948.971762999994</v>
      </c>
      <c r="N25" s="708">
        <v>89038</v>
      </c>
      <c r="O25" s="708">
        <v>68253.618545999998</v>
      </c>
      <c r="P25" s="709">
        <v>76191.813668000003</v>
      </c>
    </row>
    <row r="26" spans="2:16" customFormat="1" ht="13.35" customHeight="1" x14ac:dyDescent="0.2">
      <c r="B26" s="26"/>
      <c r="C26" s="16" t="s">
        <v>40</v>
      </c>
      <c r="D26" s="338" t="s">
        <v>64</v>
      </c>
      <c r="E26" s="708">
        <v>51869</v>
      </c>
      <c r="F26" s="708">
        <v>63644.069840999997</v>
      </c>
      <c r="G26" s="709">
        <v>68803.499211000002</v>
      </c>
      <c r="H26" s="708">
        <v>52664</v>
      </c>
      <c r="I26" s="708">
        <v>63867.663636999998</v>
      </c>
      <c r="J26" s="709">
        <v>69546.610197000002</v>
      </c>
      <c r="K26" s="708">
        <v>64232</v>
      </c>
      <c r="L26" s="708">
        <v>77621.497629999998</v>
      </c>
      <c r="M26" s="709">
        <v>84777.875312000004</v>
      </c>
      <c r="N26" s="708">
        <v>73250</v>
      </c>
      <c r="O26" s="708">
        <v>88336.916167000003</v>
      </c>
      <c r="P26" s="709">
        <v>96647.079207000002</v>
      </c>
    </row>
    <row r="27" spans="2:16" customFormat="1" ht="13.35" customHeight="1" x14ac:dyDescent="0.2">
      <c r="B27" s="26"/>
      <c r="C27" s="16" t="s">
        <v>41</v>
      </c>
      <c r="D27" s="338" t="s">
        <v>65</v>
      </c>
      <c r="E27" s="708">
        <v>13323</v>
      </c>
      <c r="F27" s="708">
        <v>36192.626327999998</v>
      </c>
      <c r="G27" s="709">
        <v>38018.46888</v>
      </c>
      <c r="H27" s="708">
        <v>12899</v>
      </c>
      <c r="I27" s="708">
        <v>34610.528033000002</v>
      </c>
      <c r="J27" s="709">
        <v>36535.138596999997</v>
      </c>
      <c r="K27" s="708">
        <v>15376</v>
      </c>
      <c r="L27" s="708">
        <v>41283.313479999997</v>
      </c>
      <c r="M27" s="709">
        <v>43604.917735000003</v>
      </c>
      <c r="N27" s="708">
        <v>16952</v>
      </c>
      <c r="O27" s="708">
        <v>45424.071727000002</v>
      </c>
      <c r="P27" s="709">
        <v>48137.561897</v>
      </c>
    </row>
    <row r="28" spans="2:16" customFormat="1" ht="13.35" customHeight="1" x14ac:dyDescent="0.2">
      <c r="B28" s="525"/>
      <c r="C28" s="280" t="s">
        <v>42</v>
      </c>
      <c r="D28" s="434" t="s">
        <v>66</v>
      </c>
      <c r="E28" s="710">
        <v>2403</v>
      </c>
      <c r="F28" s="710">
        <v>20692.096030000001</v>
      </c>
      <c r="G28" s="711">
        <v>21359.588381000001</v>
      </c>
      <c r="H28" s="710">
        <v>2068</v>
      </c>
      <c r="I28" s="710">
        <v>17082.938803000001</v>
      </c>
      <c r="J28" s="711">
        <v>17795.309829000002</v>
      </c>
      <c r="K28" s="710">
        <v>2362</v>
      </c>
      <c r="L28" s="710">
        <v>19298.468069999999</v>
      </c>
      <c r="M28" s="711">
        <v>19892.859163000001</v>
      </c>
      <c r="N28" s="710">
        <v>2787</v>
      </c>
      <c r="O28" s="710">
        <v>23913.198102999999</v>
      </c>
      <c r="P28" s="711">
        <v>24712.025082</v>
      </c>
    </row>
    <row r="29" spans="2:16" customFormat="1" ht="13.35" customHeight="1" x14ac:dyDescent="0.2">
      <c r="B29" s="525"/>
      <c r="C29" s="635" t="s">
        <v>8</v>
      </c>
      <c r="D29" s="636"/>
      <c r="E29" s="712">
        <f t="shared" ref="E29:P29" si="0">SUM(E4:E28)</f>
        <v>4712709</v>
      </c>
      <c r="F29" s="712">
        <f>SUM(F4:F28)</f>
        <v>818509.868487</v>
      </c>
      <c r="G29" s="713">
        <f t="shared" si="0"/>
        <v>904973.85649999988</v>
      </c>
      <c r="H29" s="712">
        <f t="shared" si="0"/>
        <v>5001558</v>
      </c>
      <c r="I29" s="712">
        <f t="shared" si="0"/>
        <v>867346.47333099996</v>
      </c>
      <c r="J29" s="713">
        <f t="shared" si="0"/>
        <v>961442.68287800008</v>
      </c>
      <c r="K29" s="712">
        <f t="shared" si="0"/>
        <v>5199360</v>
      </c>
      <c r="L29" s="712">
        <f t="shared" si="0"/>
        <v>962782.58747999999</v>
      </c>
      <c r="M29" s="713">
        <f t="shared" si="0"/>
        <v>1086771.08699</v>
      </c>
      <c r="N29" s="712">
        <f t="shared" si="0"/>
        <v>5108207</v>
      </c>
      <c r="O29" s="712">
        <f t="shared" si="0"/>
        <v>1023935.7377770001</v>
      </c>
      <c r="P29" s="713">
        <f t="shared" si="0"/>
        <v>1156674.8077810004</v>
      </c>
    </row>
    <row r="30" spans="2:16" customFormat="1" ht="13.35" customHeight="1" x14ac:dyDescent="0.2">
      <c r="B30" s="26"/>
      <c r="C30" s="16"/>
      <c r="D30" s="338" t="s">
        <v>234</v>
      </c>
      <c r="E30" s="708">
        <f t="shared" ref="E30:P30" si="1">SUM(E4:E5)</f>
        <v>295713</v>
      </c>
      <c r="F30" s="708">
        <f t="shared" si="1"/>
        <v>-19554.959874</v>
      </c>
      <c r="G30" s="709">
        <f t="shared" si="1"/>
        <v>-18681.174146000001</v>
      </c>
      <c r="H30" s="708">
        <f t="shared" si="1"/>
        <v>309933</v>
      </c>
      <c r="I30" s="708">
        <f t="shared" si="1"/>
        <v>-20701.252891</v>
      </c>
      <c r="J30" s="709">
        <f t="shared" si="1"/>
        <v>-19768.077256</v>
      </c>
      <c r="K30" s="708">
        <f t="shared" si="1"/>
        <v>250160</v>
      </c>
      <c r="L30" s="708">
        <f t="shared" si="1"/>
        <v>-21049.823912999997</v>
      </c>
      <c r="M30" s="709">
        <f t="shared" si="1"/>
        <v>-20069.826921</v>
      </c>
      <c r="N30" s="708">
        <f t="shared" si="1"/>
        <v>191413</v>
      </c>
      <c r="O30" s="708">
        <f t="shared" si="1"/>
        <v>-20201.235207000002</v>
      </c>
      <c r="P30" s="709">
        <f t="shared" si="1"/>
        <v>-19253.371594</v>
      </c>
    </row>
    <row r="31" spans="2:16" customFormat="1" ht="13.35" customHeight="1" x14ac:dyDescent="0.2">
      <c r="B31" s="26"/>
      <c r="C31" s="16"/>
      <c r="D31" s="338" t="s">
        <v>235</v>
      </c>
      <c r="E31" s="708">
        <f t="shared" ref="E31:P31" si="2">SUM(E6:E10)</f>
        <v>640107</v>
      </c>
      <c r="F31" s="708">
        <f t="shared" si="2"/>
        <v>19857.118731000002</v>
      </c>
      <c r="G31" s="709">
        <f t="shared" si="2"/>
        <v>22128.659492999999</v>
      </c>
      <c r="H31" s="708">
        <f t="shared" si="2"/>
        <v>678437</v>
      </c>
      <c r="I31" s="708">
        <f t="shared" si="2"/>
        <v>20782.771503</v>
      </c>
      <c r="J31" s="709">
        <f t="shared" si="2"/>
        <v>22975.454852000003</v>
      </c>
      <c r="K31" s="708">
        <f t="shared" si="2"/>
        <v>701774</v>
      </c>
      <c r="L31" s="708">
        <f t="shared" si="2"/>
        <v>21295.677678</v>
      </c>
      <c r="M31" s="709">
        <f t="shared" si="2"/>
        <v>23408.288853999999</v>
      </c>
      <c r="N31" s="708">
        <f t="shared" si="2"/>
        <v>621761</v>
      </c>
      <c r="O31" s="708">
        <f t="shared" si="2"/>
        <v>18363.529286000001</v>
      </c>
      <c r="P31" s="709">
        <f t="shared" si="2"/>
        <v>20236.856334</v>
      </c>
    </row>
    <row r="32" spans="2:16" customFormat="1" ht="13.35" customHeight="1" x14ac:dyDescent="0.2">
      <c r="B32" s="26"/>
      <c r="C32" s="16"/>
      <c r="D32" s="338" t="s">
        <v>236</v>
      </c>
      <c r="E32" s="708">
        <f t="shared" ref="E32:P32" si="3">SUM(E11:E16)</f>
        <v>1143890</v>
      </c>
      <c r="F32" s="708">
        <f t="shared" si="3"/>
        <v>93302.436568000005</v>
      </c>
      <c r="G32" s="709">
        <f t="shared" si="3"/>
        <v>103004.151386</v>
      </c>
      <c r="H32" s="708">
        <f t="shared" si="3"/>
        <v>1206157</v>
      </c>
      <c r="I32" s="708">
        <f t="shared" si="3"/>
        <v>97895.146858999986</v>
      </c>
      <c r="J32" s="709">
        <f t="shared" si="3"/>
        <v>108048.632557</v>
      </c>
      <c r="K32" s="708">
        <f t="shared" si="3"/>
        <v>1149613</v>
      </c>
      <c r="L32" s="708">
        <f t="shared" si="3"/>
        <v>91689.885658999992</v>
      </c>
      <c r="M32" s="709">
        <f t="shared" si="3"/>
        <v>103384.606216</v>
      </c>
      <c r="N32" s="708">
        <f t="shared" si="3"/>
        <v>1078663</v>
      </c>
      <c r="O32" s="708">
        <f t="shared" si="3"/>
        <v>87214.667044999995</v>
      </c>
      <c r="P32" s="709">
        <f t="shared" si="3"/>
        <v>98100.404347999996</v>
      </c>
    </row>
    <row r="33" spans="2:16" customFormat="1" ht="13.35" customHeight="1" x14ac:dyDescent="0.2">
      <c r="B33" s="26"/>
      <c r="C33" s="16"/>
      <c r="D33" s="338" t="s">
        <v>399</v>
      </c>
      <c r="E33" s="708">
        <f>SUM(E17:E23)</f>
        <v>2335672</v>
      </c>
      <c r="F33" s="708">
        <f t="shared" ref="F33:P33" si="4">SUM(F17:F23)</f>
        <v>467247.98178600002</v>
      </c>
      <c r="G33" s="709">
        <f t="shared" si="4"/>
        <v>517450.56451099995</v>
      </c>
      <c r="H33" s="708">
        <f t="shared" si="4"/>
        <v>2490560</v>
      </c>
      <c r="I33" s="708">
        <f t="shared" si="4"/>
        <v>505664.83724399999</v>
      </c>
      <c r="J33" s="709">
        <f t="shared" si="4"/>
        <v>560546.11356600001</v>
      </c>
      <c r="K33" s="708">
        <f t="shared" si="4"/>
        <v>2719836</v>
      </c>
      <c r="L33" s="708">
        <f t="shared" si="4"/>
        <v>556548.38782199996</v>
      </c>
      <c r="M33" s="709">
        <f t="shared" si="4"/>
        <v>633896.07811500004</v>
      </c>
      <c r="N33" s="708">
        <f t="shared" si="4"/>
        <v>2789367</v>
      </c>
      <c r="O33" s="708">
        <f t="shared" si="4"/>
        <v>581545.51101300004</v>
      </c>
      <c r="P33" s="709">
        <f t="shared" si="4"/>
        <v>664143.979101</v>
      </c>
    </row>
    <row r="34" spans="2:16" customFormat="1" ht="13.35" customHeight="1" x14ac:dyDescent="0.2">
      <c r="B34" s="525"/>
      <c r="C34" s="280"/>
      <c r="D34" s="714" t="s">
        <v>401</v>
      </c>
      <c r="E34" s="710">
        <f>SUM(E24:E28)</f>
        <v>297327</v>
      </c>
      <c r="F34" s="710">
        <f t="shared" ref="F34:P34" si="5">SUM(F24:F28)</f>
        <v>257657.29127600003</v>
      </c>
      <c r="G34" s="711">
        <f t="shared" si="5"/>
        <v>281071.655256</v>
      </c>
      <c r="H34" s="710">
        <f t="shared" si="5"/>
        <v>316471</v>
      </c>
      <c r="I34" s="710">
        <f t="shared" si="5"/>
        <v>263704.97061600001</v>
      </c>
      <c r="J34" s="711">
        <f t="shared" si="5"/>
        <v>289640.559159</v>
      </c>
      <c r="K34" s="710">
        <f t="shared" si="5"/>
        <v>377977</v>
      </c>
      <c r="L34" s="710">
        <f t="shared" si="5"/>
        <v>314298.460234</v>
      </c>
      <c r="M34" s="711">
        <f t="shared" si="5"/>
        <v>346151.940726</v>
      </c>
      <c r="N34" s="710">
        <f t="shared" si="5"/>
        <v>427003</v>
      </c>
      <c r="O34" s="710">
        <f t="shared" si="5"/>
        <v>357013.26564</v>
      </c>
      <c r="P34" s="711">
        <f t="shared" si="5"/>
        <v>393446.93959199998</v>
      </c>
    </row>
    <row r="35" spans="2:16" customFormat="1" ht="13.35" customHeight="1" x14ac:dyDescent="0.2">
      <c r="B35" s="525"/>
      <c r="C35" s="635" t="s">
        <v>8</v>
      </c>
      <c r="D35" s="636"/>
      <c r="E35" s="712">
        <f t="shared" ref="E35:P35" si="6">SUM(E30:E34)</f>
        <v>4712709</v>
      </c>
      <c r="F35" s="712">
        <f t="shared" si="6"/>
        <v>818509.868487</v>
      </c>
      <c r="G35" s="713">
        <f t="shared" si="6"/>
        <v>904973.85649999988</v>
      </c>
      <c r="H35" s="712">
        <f t="shared" si="6"/>
        <v>5001558</v>
      </c>
      <c r="I35" s="712">
        <f t="shared" si="6"/>
        <v>867346.47333099996</v>
      </c>
      <c r="J35" s="713">
        <f t="shared" si="6"/>
        <v>961442.68287799996</v>
      </c>
      <c r="K35" s="712">
        <f t="shared" si="6"/>
        <v>5199360</v>
      </c>
      <c r="L35" s="712">
        <f t="shared" si="6"/>
        <v>962782.58747999999</v>
      </c>
      <c r="M35" s="713">
        <f t="shared" si="6"/>
        <v>1086771.0869900002</v>
      </c>
      <c r="N35" s="712">
        <f t="shared" si="6"/>
        <v>5108207</v>
      </c>
      <c r="O35" s="712">
        <f t="shared" si="6"/>
        <v>1023935.7377770001</v>
      </c>
      <c r="P35" s="713">
        <f t="shared" si="6"/>
        <v>1156674.8077810002</v>
      </c>
    </row>
    <row r="36" spans="2:16" customFormat="1" ht="13.35" customHeight="1" x14ac:dyDescent="0.2">
      <c r="B36" s="1"/>
      <c r="C36" s="29"/>
      <c r="D36" s="1"/>
      <c r="E36" s="1"/>
      <c r="F36" s="1"/>
      <c r="G36" s="1"/>
      <c r="H36" s="1"/>
      <c r="I36" s="1"/>
      <c r="J36" s="1"/>
      <c r="K36" s="1"/>
      <c r="L36" s="1"/>
      <c r="M36" s="1"/>
      <c r="N36" s="1"/>
      <c r="O36" s="1"/>
      <c r="P36" s="1"/>
    </row>
    <row r="37" spans="2:16" customFormat="1" ht="13.35" customHeight="1" x14ac:dyDescent="0.2">
      <c r="I37" s="352" t="s">
        <v>371</v>
      </c>
      <c r="J37" s="6"/>
    </row>
    <row r="38" spans="2:16" customFormat="1" ht="13.35" customHeight="1" x14ac:dyDescent="0.2">
      <c r="I38" s="6"/>
      <c r="J38" s="6"/>
    </row>
    <row r="39" spans="2:16" customFormat="1" ht="13.35" customHeight="1" x14ac:dyDescent="0.2">
      <c r="I39" s="6"/>
      <c r="J39" s="6"/>
    </row>
    <row r="40" spans="2:16" customFormat="1" ht="13.35" customHeight="1" x14ac:dyDescent="0.2">
      <c r="I40" s="6"/>
      <c r="J40" s="6"/>
    </row>
    <row r="41" spans="2:16" ht="13.35" hidden="1" customHeight="1" x14ac:dyDescent="0.2">
      <c r="C41"/>
      <c r="D41" s="97" t="s">
        <v>229</v>
      </c>
      <c r="E41" s="118">
        <f>E35-A2.1.1!E35</f>
        <v>0</v>
      </c>
      <c r="F41" s="118">
        <f>F35-A2.1.1!F35</f>
        <v>0</v>
      </c>
      <c r="G41" s="118"/>
      <c r="H41" s="118">
        <f>H35-A2.1.1!H35</f>
        <v>0</v>
      </c>
      <c r="I41" s="118">
        <f>I35-A2.1.1!I35</f>
        <v>0</v>
      </c>
      <c r="J41" s="118"/>
      <c r="K41" s="118">
        <f>K35-A2.1.1!K35</f>
        <v>0</v>
      </c>
      <c r="L41" s="118">
        <f>L35-A2.1.1!L35</f>
        <v>0</v>
      </c>
      <c r="M41" s="118"/>
      <c r="N41" s="118">
        <f>N35-A2.1.1!N35</f>
        <v>0</v>
      </c>
      <c r="O41" s="118">
        <f>O35-A2.1.1!O35</f>
        <v>0</v>
      </c>
      <c r="P41" s="119"/>
    </row>
    <row r="42" spans="2:16" customFormat="1" ht="13.35" hidden="1" customHeight="1" x14ac:dyDescent="0.2">
      <c r="I42" s="6"/>
      <c r="J42" s="6"/>
    </row>
    <row r="43" spans="2:16" customFormat="1" ht="13.35" hidden="1" customHeight="1" x14ac:dyDescent="0.2">
      <c r="I43" s="6"/>
      <c r="J43" s="6"/>
    </row>
    <row r="44" spans="2:16" ht="13.35" hidden="1" customHeight="1" x14ac:dyDescent="0.2">
      <c r="D44" s="120" t="s">
        <v>315</v>
      </c>
      <c r="E44" s="681"/>
      <c r="F44" s="682">
        <f>F35/E35*1000000</f>
        <v>173681.39396830995</v>
      </c>
      <c r="G44" s="682">
        <f>G35/E35*1000000</f>
        <v>192028.37614204481</v>
      </c>
      <c r="H44" s="122"/>
      <c r="I44" s="682">
        <f>I35/H35*1000000</f>
        <v>173415.25847166023</v>
      </c>
      <c r="J44" s="682">
        <f>J35/H35*1000000</f>
        <v>192228.63813195805</v>
      </c>
      <c r="K44" s="122"/>
      <c r="L44" s="682">
        <f>L35/K35*1000000</f>
        <v>185173.28815084932</v>
      </c>
      <c r="M44" s="682">
        <f>M35/K35*1000000</f>
        <v>209020.16536458337</v>
      </c>
      <c r="N44" s="122"/>
      <c r="O44" s="682">
        <f>O35/N35*1000000</f>
        <v>200449.14737734786</v>
      </c>
      <c r="P44" s="683">
        <f>P35/N35*1000000</f>
        <v>226434.59980791697</v>
      </c>
    </row>
    <row r="45" spans="2:16" ht="13.35" hidden="1" customHeight="1" x14ac:dyDescent="0.2">
      <c r="D45" s="128"/>
      <c r="E45" s="684"/>
      <c r="F45" s="684"/>
      <c r="G45" s="685">
        <f>G44/F44</f>
        <v>1.1056358528368473</v>
      </c>
      <c r="H45" s="166"/>
      <c r="I45" s="166"/>
      <c r="J45" s="685">
        <f>J44/I44</f>
        <v>1.1084874527541781</v>
      </c>
      <c r="K45" s="166"/>
      <c r="L45" s="166"/>
      <c r="M45" s="685">
        <f>M44/L44</f>
        <v>1.1287814103852143</v>
      </c>
      <c r="N45" s="166"/>
      <c r="O45" s="166"/>
      <c r="P45" s="686">
        <f>P44/O44</f>
        <v>1.1296361335059768</v>
      </c>
    </row>
    <row r="46" spans="2:16" ht="13.35" hidden="1" customHeight="1" x14ac:dyDescent="0.2">
      <c r="D46" s="128"/>
      <c r="E46" s="684"/>
      <c r="F46" s="684"/>
      <c r="G46" s="685"/>
      <c r="H46" s="166"/>
      <c r="I46" s="166"/>
      <c r="J46" s="685"/>
      <c r="K46" s="166"/>
      <c r="L46" s="166"/>
      <c r="M46" s="685"/>
      <c r="N46" s="166"/>
      <c r="O46" s="166"/>
      <c r="P46" s="686"/>
    </row>
    <row r="47" spans="2:16" ht="13.35" hidden="1" customHeight="1" x14ac:dyDescent="0.2">
      <c r="D47" s="124"/>
      <c r="E47" s="687"/>
      <c r="F47" s="687"/>
      <c r="G47" s="687"/>
      <c r="H47" s="168"/>
      <c r="I47" s="688">
        <f>I44/F44-1</f>
        <v>-1.5323201326808977E-3</v>
      </c>
      <c r="J47" s="688">
        <f>J44/G44-1</f>
        <v>1.0428770681532029E-3</v>
      </c>
      <c r="K47" s="168"/>
      <c r="L47" s="688">
        <f>L44/I44-1</f>
        <v>6.7802739982713911E-2</v>
      </c>
      <c r="M47" s="688">
        <f>M44/J44-1</f>
        <v>8.735185035800197E-2</v>
      </c>
      <c r="N47" s="168"/>
      <c r="O47" s="688">
        <f>O44/L44-1</f>
        <v>8.249493962679022E-2</v>
      </c>
      <c r="P47" s="689">
        <f>P44/M44-1</f>
        <v>8.3314614228529038E-2</v>
      </c>
    </row>
    <row r="48" spans="2:16" ht="13.35" hidden="1" customHeight="1" x14ac:dyDescent="0.2"/>
    <row r="49" spans="4:16" ht="13.35" hidden="1" customHeight="1" x14ac:dyDescent="0.2"/>
    <row r="50" spans="4:16" ht="13.35" hidden="1" customHeight="1" x14ac:dyDescent="0.2">
      <c r="D50" s="131" t="s">
        <v>491</v>
      </c>
      <c r="E50" s="777"/>
      <c r="F50" s="777"/>
      <c r="G50" s="777"/>
      <c r="H50" s="781"/>
      <c r="I50" s="781"/>
      <c r="J50" s="781"/>
      <c r="K50" s="781"/>
      <c r="L50" s="781"/>
      <c r="M50" s="781"/>
      <c r="N50" s="781"/>
      <c r="O50" s="781"/>
      <c r="P50" s="782"/>
    </row>
    <row r="51" spans="4:16" hidden="1" x14ac:dyDescent="0.2">
      <c r="D51" s="120"/>
      <c r="E51" s="681" t="s">
        <v>234</v>
      </c>
      <c r="F51" s="772"/>
      <c r="G51" s="774">
        <f t="shared" ref="G51:G56" si="7">(G30-F30)/G30</f>
        <v>-4.6773597910444685E-2</v>
      </c>
      <c r="H51" s="122"/>
      <c r="I51" s="122"/>
      <c r="J51" s="774">
        <f>(J30-I30)/J30</f>
        <v>-4.720619122007743E-2</v>
      </c>
      <c r="K51" s="122"/>
      <c r="L51" s="122"/>
      <c r="M51" s="774">
        <f>(M30-L30)/M30</f>
        <v>-4.8829369374111538E-2</v>
      </c>
      <c r="N51" s="122"/>
      <c r="O51" s="122"/>
      <c r="P51" s="775">
        <f>(P30-O30)/P30</f>
        <v>-4.9231045501422079E-2</v>
      </c>
    </row>
    <row r="52" spans="4:16" hidden="1" x14ac:dyDescent="0.2">
      <c r="D52" s="128"/>
      <c r="E52" s="684" t="s">
        <v>235</v>
      </c>
      <c r="F52" s="773"/>
      <c r="G52" s="685">
        <f t="shared" si="7"/>
        <v>0.10265153037031266</v>
      </c>
      <c r="H52" s="166"/>
      <c r="I52" s="166"/>
      <c r="J52" s="685">
        <f t="shared" ref="J52:J56" si="8">(J31-I31)/J31</f>
        <v>9.5435905975508051E-2</v>
      </c>
      <c r="K52" s="166"/>
      <c r="L52" s="166"/>
      <c r="M52" s="685">
        <f t="shared" ref="M52:M56" si="9">(M31-L31)/M31</f>
        <v>9.0250559926724261E-2</v>
      </c>
      <c r="N52" s="166"/>
      <c r="O52" s="166"/>
      <c r="P52" s="686">
        <f t="shared" ref="P52:P56" si="10">(P31-O31)/P31</f>
        <v>9.2570062122377034E-2</v>
      </c>
    </row>
    <row r="53" spans="4:16" hidden="1" x14ac:dyDescent="0.2">
      <c r="D53" s="128"/>
      <c r="E53" s="684" t="s">
        <v>236</v>
      </c>
      <c r="F53" s="773"/>
      <c r="G53" s="685">
        <f t="shared" si="7"/>
        <v>9.4187609794905994E-2</v>
      </c>
      <c r="H53" s="166"/>
      <c r="I53" s="166"/>
      <c r="J53" s="685">
        <f t="shared" si="8"/>
        <v>9.397144098648029E-2</v>
      </c>
      <c r="K53" s="166"/>
      <c r="L53" s="166"/>
      <c r="M53" s="685">
        <f t="shared" si="9"/>
        <v>0.11311858684808833</v>
      </c>
      <c r="N53" s="166"/>
      <c r="O53" s="166"/>
      <c r="P53" s="686">
        <f t="shared" si="10"/>
        <v>0.11096526436714868</v>
      </c>
    </row>
    <row r="54" spans="4:16" hidden="1" x14ac:dyDescent="0.2">
      <c r="D54" s="128"/>
      <c r="E54" s="684" t="s">
        <v>399</v>
      </c>
      <c r="F54" s="773"/>
      <c r="G54" s="685">
        <f t="shared" si="7"/>
        <v>9.7019089683363799E-2</v>
      </c>
      <c r="H54" s="166"/>
      <c r="I54" s="166"/>
      <c r="J54" s="685">
        <f t="shared" si="8"/>
        <v>9.7906800161122104E-2</v>
      </c>
      <c r="K54" s="166"/>
      <c r="L54" s="166"/>
      <c r="M54" s="685">
        <f t="shared" si="9"/>
        <v>0.12201951228820795</v>
      </c>
      <c r="N54" s="166"/>
      <c r="O54" s="166"/>
      <c r="P54" s="686">
        <f t="shared" si="10"/>
        <v>0.12436831573751084</v>
      </c>
    </row>
    <row r="55" spans="4:16" hidden="1" x14ac:dyDescent="0.2">
      <c r="D55" s="128"/>
      <c r="E55" s="684" t="s">
        <v>401</v>
      </c>
      <c r="F55" s="773"/>
      <c r="G55" s="685">
        <f t="shared" si="7"/>
        <v>8.3303896149450454E-2</v>
      </c>
      <c r="H55" s="166"/>
      <c r="I55" s="166"/>
      <c r="J55" s="685">
        <f t="shared" si="8"/>
        <v>8.9544049418722765E-2</v>
      </c>
      <c r="K55" s="166"/>
      <c r="L55" s="166"/>
      <c r="M55" s="685">
        <f t="shared" si="9"/>
        <v>9.2021672405453711E-2</v>
      </c>
      <c r="N55" s="166"/>
      <c r="O55" s="166"/>
      <c r="P55" s="686">
        <f t="shared" si="10"/>
        <v>9.2601238656936286E-2</v>
      </c>
    </row>
    <row r="56" spans="4:16" hidden="1" x14ac:dyDescent="0.2">
      <c r="D56" s="131" t="s">
        <v>8</v>
      </c>
      <c r="E56" s="776"/>
      <c r="F56" s="777"/>
      <c r="G56" s="778">
        <f t="shared" si="7"/>
        <v>9.5543078280073926E-2</v>
      </c>
      <c r="H56" s="779"/>
      <c r="I56" s="779"/>
      <c r="J56" s="778">
        <f t="shared" si="8"/>
        <v>9.7869806721426908E-2</v>
      </c>
      <c r="K56" s="779"/>
      <c r="L56" s="779"/>
      <c r="M56" s="778">
        <f t="shared" si="9"/>
        <v>0.11408888310914467</v>
      </c>
      <c r="N56" s="779"/>
      <c r="O56" s="779"/>
      <c r="P56" s="780">
        <f t="shared" si="10"/>
        <v>0.11475919516104162</v>
      </c>
    </row>
    <row r="57" spans="4:16" hidden="1" x14ac:dyDescent="0.2"/>
    <row r="58" spans="4:16" hidden="1" x14ac:dyDescent="0.2">
      <c r="E58" s="558">
        <f>E30-A2.1.1!E30</f>
        <v>-20465</v>
      </c>
    </row>
    <row r="59" spans="4:16" hidden="1" x14ac:dyDescent="0.2">
      <c r="E59" s="558">
        <f>E31-A2.1.1!E31</f>
        <v>-119138</v>
      </c>
    </row>
    <row r="60" spans="4:16" hidden="1" x14ac:dyDescent="0.2">
      <c r="E60" s="558">
        <f>E32-A2.1.1!E32</f>
        <v>-77594</v>
      </c>
    </row>
    <row r="61" spans="4:16" hidden="1" x14ac:dyDescent="0.2">
      <c r="E61" s="558">
        <f>E33-A2.1.1!E33</f>
        <v>156704</v>
      </c>
    </row>
    <row r="62" spans="4:16" hidden="1" x14ac:dyDescent="0.2">
      <c r="E62" s="558">
        <f>E34-A2.1.1!E34</f>
        <v>60493</v>
      </c>
    </row>
    <row r="63" spans="4:16" hidden="1" x14ac:dyDescent="0.2">
      <c r="E63" s="558">
        <f>E35-A2.1.1!E35</f>
        <v>0</v>
      </c>
    </row>
    <row r="64" spans="4:16" hidden="1" x14ac:dyDescent="0.2"/>
    <row r="65" spans="5:5" hidden="1" x14ac:dyDescent="0.2"/>
    <row r="66" spans="5:5" hidden="1" x14ac:dyDescent="0.2">
      <c r="E66" s="558">
        <f>E15-A2.1.1!E15</f>
        <v>-25813</v>
      </c>
    </row>
    <row r="67" spans="5:5" hidden="1" x14ac:dyDescent="0.2">
      <c r="E67" s="558">
        <f>E16-A2.1.1!E16</f>
        <v>3729</v>
      </c>
    </row>
    <row r="68" spans="5:5" hidden="1" x14ac:dyDescent="0.2">
      <c r="E68" s="558">
        <f>E17-A2.1.1!E17</f>
        <v>-27129</v>
      </c>
    </row>
    <row r="69" spans="5:5" hidden="1" x14ac:dyDescent="0.2">
      <c r="E69" s="558">
        <f>E18-A2.1.1!E18</f>
        <v>-37576</v>
      </c>
    </row>
    <row r="70" spans="5:5" hidden="1" x14ac:dyDescent="0.2">
      <c r="E70" s="558">
        <f>E19-A2.1.1!E19</f>
        <v>38962</v>
      </c>
    </row>
    <row r="71" spans="5:5" hidden="1" x14ac:dyDescent="0.2">
      <c r="E71" s="558">
        <f>E20-A2.1.1!E20</f>
        <v>52325</v>
      </c>
    </row>
    <row r="72" spans="5:5" hidden="1" x14ac:dyDescent="0.2">
      <c r="E72" s="558">
        <f>E21-A2.1.1!E21</f>
        <v>72609</v>
      </c>
    </row>
    <row r="73" spans="5:5" hidden="1" x14ac:dyDescent="0.2">
      <c r="E73" s="558">
        <f>E22-A2.1.1!E22</f>
        <v>36278</v>
      </c>
    </row>
  </sheetData>
  <mergeCells count="1">
    <mergeCell ref="C3:D3"/>
  </mergeCells>
  <hyperlinks>
    <hyperlink ref="I37" location="CONTENTS!A1" display="BACK TO CONTENTS"/>
  </hyperlinks>
  <pageMargins left="0.98425196850393704" right="0.98425196850393704" top="0.98425196850393704" bottom="0.98425196850393704" header="0.51181102362204722" footer="0.51181102362204722"/>
  <pageSetup paperSize="9" scale="91" orientation="landscape" r:id="rId1"/>
  <headerFooter alignWithMargins="0"/>
  <ignoredErrors>
    <ignoredError sqref="E30:R32 Q34:R34 Q33:R33"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7" tint="0.79998168889431442"/>
    <pageSetUpPr fitToPage="1"/>
  </sheetPr>
  <dimension ref="B1:P46"/>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6.28515625" style="2" customWidth="1"/>
    <col min="5" max="5" width="9.28515625" style="2" customWidth="1"/>
    <col min="6" max="6" width="9" style="2" customWidth="1"/>
    <col min="7" max="7" width="9.5703125" style="2" customWidth="1"/>
    <col min="8" max="8" width="9.28515625" style="14" customWidth="1"/>
    <col min="9" max="9" width="9" style="6" customWidth="1"/>
    <col min="10" max="10" width="9.5703125" style="6" customWidth="1"/>
    <col min="11" max="11" width="9.28515625" style="6" customWidth="1"/>
    <col min="12" max="12" width="9" style="6" customWidth="1"/>
    <col min="13" max="13" width="9.5703125" style="6" customWidth="1"/>
    <col min="14" max="14" width="9.28515625" style="6" customWidth="1"/>
    <col min="15" max="15" width="9" style="6" customWidth="1"/>
    <col min="16" max="16" width="9.5703125" style="6" customWidth="1"/>
    <col min="17" max="16384" width="9.140625" style="10"/>
  </cols>
  <sheetData>
    <row r="1" spans="2:16" s="8" customFormat="1" ht="15" customHeight="1" x14ac:dyDescent="0.2">
      <c r="B1" s="439" t="s">
        <v>405</v>
      </c>
      <c r="C1" s="311"/>
      <c r="D1" s="311"/>
      <c r="E1" s="355"/>
      <c r="F1" s="355"/>
      <c r="G1" s="70"/>
      <c r="H1" s="61"/>
      <c r="I1" s="4"/>
      <c r="J1" s="5"/>
      <c r="K1" s="4"/>
      <c r="L1" s="4"/>
      <c r="M1" s="4"/>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38.1" customHeight="1" x14ac:dyDescent="0.2">
      <c r="B3" s="470"/>
      <c r="C3" s="1028" t="s">
        <v>365</v>
      </c>
      <c r="D3" s="1030"/>
      <c r="E3" s="506" t="s">
        <v>17</v>
      </c>
      <c r="F3" s="506" t="s">
        <v>80</v>
      </c>
      <c r="G3" s="507" t="s">
        <v>358</v>
      </c>
      <c r="H3" s="506" t="s">
        <v>17</v>
      </c>
      <c r="I3" s="506" t="s">
        <v>80</v>
      </c>
      <c r="J3" s="507" t="s">
        <v>358</v>
      </c>
      <c r="K3" s="506" t="s">
        <v>17</v>
      </c>
      <c r="L3" s="506" t="s">
        <v>80</v>
      </c>
      <c r="M3" s="507" t="s">
        <v>358</v>
      </c>
      <c r="N3" s="506" t="s">
        <v>17</v>
      </c>
      <c r="O3" s="506" t="s">
        <v>80</v>
      </c>
      <c r="P3" s="507" t="s">
        <v>358</v>
      </c>
    </row>
    <row r="4" spans="2:16" ht="13.35" customHeight="1" x14ac:dyDescent="0.2">
      <c r="B4" s="145"/>
      <c r="C4" s="16" t="s">
        <v>18</v>
      </c>
      <c r="D4" s="338" t="s">
        <v>43</v>
      </c>
      <c r="E4" s="715">
        <f>+A2.1.2!E4/A2.1.2!E$29</f>
        <v>1.3804586703740884E-2</v>
      </c>
      <c r="F4" s="715">
        <f>+A2.1.2!F4/A2.1.2!F$29</f>
        <v>-2.3767642972906903E-2</v>
      </c>
      <c r="G4" s="716">
        <f>+A2.1.2!G4/A2.1.2!G$29</f>
        <v>-2.0642777702164487E-2</v>
      </c>
      <c r="H4" s="715">
        <f>+A2.1.2!H4/A2.1.2!H$29</f>
        <v>1.3053532519266997E-2</v>
      </c>
      <c r="I4" s="715">
        <f>+A2.1.2!I4/A2.1.2!I$29</f>
        <v>-2.3707670149426849E-2</v>
      </c>
      <c r="J4" s="716">
        <f>+A2.1.2!J4/A2.1.2!J$29</f>
        <v>-2.0560848408379247E-2</v>
      </c>
      <c r="K4" s="715">
        <f>+A2.1.2!K4/A2.1.2!K$29</f>
        <v>1.1588733998030527E-2</v>
      </c>
      <c r="L4" s="715">
        <f>+A2.1.2!L4/A2.1.2!L$29</f>
        <v>-2.1739441388095096E-2</v>
      </c>
      <c r="M4" s="716">
        <f>+A2.1.2!M4/A2.1.2!M$29</f>
        <v>-1.8467391303707618E-2</v>
      </c>
      <c r="N4" s="715">
        <f>+A2.1.2!N4/A2.1.2!N$29</f>
        <v>9.94438948930613E-3</v>
      </c>
      <c r="O4" s="715">
        <f>+A2.1.2!O4/A2.1.2!O$29</f>
        <v>-1.9617895330629419E-2</v>
      </c>
      <c r="P4" s="716">
        <f>+A2.1.2!P4/A2.1.2!P$29</f>
        <v>-1.6645449061812149E-2</v>
      </c>
    </row>
    <row r="5" spans="2:16" s="50" customFormat="1" ht="13.35" customHeight="1" x14ac:dyDescent="0.2">
      <c r="B5" s="145"/>
      <c r="C5" s="16" t="s">
        <v>19</v>
      </c>
      <c r="D5" s="339" t="s">
        <v>129</v>
      </c>
      <c r="E5" s="715">
        <f>+A2.1.2!E5/A2.1.2!E$29</f>
        <v>4.894339964551174E-2</v>
      </c>
      <c r="F5" s="715">
        <f>+A2.1.2!F5/A2.1.2!F$29</f>
        <v>-1.2328446349282188E-4</v>
      </c>
      <c r="G5" s="716">
        <f>+A2.1.2!G5/A2.1.2!G$29</f>
        <v>0</v>
      </c>
      <c r="H5" s="715">
        <f>+A2.1.2!H5/A2.1.2!H$29</f>
        <v>4.8913758472859857E-2</v>
      </c>
      <c r="I5" s="715">
        <f>+A2.1.2!I5/A2.1.2!I$29</f>
        <v>-1.5966952107171294E-4</v>
      </c>
      <c r="J5" s="716">
        <f>+A2.1.2!J5/A2.1.2!J$29</f>
        <v>0</v>
      </c>
      <c r="K5" s="715">
        <f>+A2.1.2!K5/A2.1.2!K$29</f>
        <v>3.652487998522895E-2</v>
      </c>
      <c r="L5" s="715">
        <f>+A2.1.2!L5/A2.1.2!L$29</f>
        <v>-1.2408645996880551E-4</v>
      </c>
      <c r="M5" s="716">
        <f>+A2.1.2!M5/A2.1.2!M$29</f>
        <v>0</v>
      </c>
      <c r="N5" s="715">
        <f>+A2.1.2!N5/A2.1.2!N$29</f>
        <v>2.7527271310657537E-2</v>
      </c>
      <c r="O5" s="715">
        <f>+A2.1.2!O5/A2.1.2!O$29</f>
        <v>-1.1111154128383188E-4</v>
      </c>
      <c r="P5" s="716">
        <f>+A2.1.2!P5/A2.1.2!P$29</f>
        <v>0</v>
      </c>
    </row>
    <row r="6" spans="2:16" ht="13.35" customHeight="1" x14ac:dyDescent="0.2">
      <c r="B6" s="145"/>
      <c r="C6" s="16" t="s">
        <v>20</v>
      </c>
      <c r="D6" s="338" t="s">
        <v>44</v>
      </c>
      <c r="E6" s="715">
        <f>+A2.1.2!E6/A2.1.2!E$29</f>
        <v>3.4024803992777825E-2</v>
      </c>
      <c r="F6" s="715">
        <f>+A2.1.2!F6/A2.1.2!F$29</f>
        <v>1.4896299091100881E-3</v>
      </c>
      <c r="G6" s="716">
        <f>+A2.1.2!G6/A2.1.2!G$29</f>
        <v>1.7134926073966649E-3</v>
      </c>
      <c r="H6" s="715">
        <f>+A2.1.2!H6/A2.1.2!H$29</f>
        <v>3.7046056448810552E-2</v>
      </c>
      <c r="I6" s="715">
        <f>+A2.1.2!I6/A2.1.2!I$29</f>
        <v>1.630265619884964E-3</v>
      </c>
      <c r="J6" s="716">
        <f>+A2.1.2!J6/A2.1.2!J$29</f>
        <v>1.8405359118267325E-3</v>
      </c>
      <c r="K6" s="715">
        <f>+A2.1.2!K6/A2.1.2!K$29</f>
        <v>3.7780226797144267E-2</v>
      </c>
      <c r="L6" s="715">
        <f>+A2.1.2!L6/A2.1.2!L$29</f>
        <v>1.6147729593544351E-3</v>
      </c>
      <c r="M6" s="716">
        <f>+A2.1.2!M6/A2.1.2!M$29</f>
        <v>1.7650827271388854E-3</v>
      </c>
      <c r="N6" s="715">
        <f>+A2.1.2!N6/A2.1.2!N$29</f>
        <v>3.6387523058482162E-2</v>
      </c>
      <c r="O6" s="715">
        <f>+A2.1.2!O6/A2.1.2!O$29</f>
        <v>1.3972205024370193E-3</v>
      </c>
      <c r="P6" s="716">
        <f>+A2.1.2!P6/A2.1.2!P$29</f>
        <v>1.5275347436585042E-3</v>
      </c>
    </row>
    <row r="7" spans="2:16" ht="13.35" customHeight="1" x14ac:dyDescent="0.2">
      <c r="B7" s="145"/>
      <c r="C7" s="16" t="s">
        <v>21</v>
      </c>
      <c r="D7" s="338" t="s">
        <v>45</v>
      </c>
      <c r="E7" s="715">
        <f>+A2.1.2!E7/A2.1.2!E$29</f>
        <v>1.7840481981807068E-2</v>
      </c>
      <c r="F7" s="715">
        <f>+A2.1.2!F7/A2.1.2!F$29</f>
        <v>2.2860567050447464E-3</v>
      </c>
      <c r="G7" s="716">
        <f>+A2.1.2!G7/A2.1.2!G$29</f>
        <v>2.3365182671439971E-3</v>
      </c>
      <c r="H7" s="715">
        <f>+A2.1.2!H7/A2.1.2!H$29</f>
        <v>1.8289900866889877E-2</v>
      </c>
      <c r="I7" s="715">
        <f>+A2.1.2!I7/A2.1.2!I$29</f>
        <v>2.3552019784606054E-3</v>
      </c>
      <c r="J7" s="716">
        <f>+A2.1.2!J7/A2.1.2!J$29</f>
        <v>2.3922350785541861E-3</v>
      </c>
      <c r="K7" s="715">
        <f>+A2.1.2!K7/A2.1.2!K$29</f>
        <v>1.9522018094534712E-2</v>
      </c>
      <c r="L7" s="715">
        <f>+A2.1.2!L7/A2.1.2!L$29</f>
        <v>2.382963464269818E-3</v>
      </c>
      <c r="M7" s="716">
        <f>+A2.1.2!M7/A2.1.2!M$29</f>
        <v>2.3465150246709363E-3</v>
      </c>
      <c r="N7" s="715">
        <f>+A2.1.2!N7/A2.1.2!N$29</f>
        <v>1.7231682271294017E-2</v>
      </c>
      <c r="O7" s="715">
        <f>+A2.1.2!O7/A2.1.2!O$29</f>
        <v>1.932131493227425E-3</v>
      </c>
      <c r="P7" s="716">
        <f>+A2.1.2!P7/A2.1.2!P$29</f>
        <v>1.9148906971088455E-3</v>
      </c>
    </row>
    <row r="8" spans="2:16" ht="13.35" customHeight="1" x14ac:dyDescent="0.2">
      <c r="B8" s="145"/>
      <c r="C8" s="16" t="s">
        <v>22</v>
      </c>
      <c r="D8" s="338" t="s">
        <v>46</v>
      </c>
      <c r="E8" s="715">
        <f>+A2.1.2!E8/A2.1.2!E$29</f>
        <v>2.0831118577446645E-2</v>
      </c>
      <c r="F8" s="715">
        <f>+A2.1.2!F8/A2.1.2!F$29</f>
        <v>3.81690152468775E-3</v>
      </c>
      <c r="G8" s="716">
        <f>+A2.1.2!G8/A2.1.2!G$29</f>
        <v>3.8265935906624726E-3</v>
      </c>
      <c r="H8" s="715">
        <f>+A2.1.2!H8/A2.1.2!H$29</f>
        <v>2.0736538494605081E-2</v>
      </c>
      <c r="I8" s="715">
        <f>+A2.1.2!I8/A2.1.2!I$29</f>
        <v>3.8062234649107064E-3</v>
      </c>
      <c r="J8" s="716">
        <f>+A2.1.2!J8/A2.1.2!J$29</f>
        <v>3.7973836641734373E-3</v>
      </c>
      <c r="K8" s="715">
        <f>+A2.1.2!K8/A2.1.2!K$29</f>
        <v>2.1036050590841949E-2</v>
      </c>
      <c r="L8" s="715">
        <f>+A2.1.2!L8/A2.1.2!L$29</f>
        <v>3.6461671187763599E-3</v>
      </c>
      <c r="M8" s="716">
        <f>+A2.1.2!M8/A2.1.2!M$29</f>
        <v>3.5412990086618056E-3</v>
      </c>
      <c r="N8" s="715">
        <f>+A2.1.2!N8/A2.1.2!N$29</f>
        <v>1.8839878650179994E-2</v>
      </c>
      <c r="O8" s="715">
        <f>+A2.1.2!O8/A2.1.2!O$29</f>
        <v>2.9974910336301205E-3</v>
      </c>
      <c r="P8" s="716">
        <f>+A2.1.2!P8/A2.1.2!P$29</f>
        <v>2.9192751145655799E-3</v>
      </c>
    </row>
    <row r="9" spans="2:16" ht="13.35" customHeight="1" x14ac:dyDescent="0.2">
      <c r="B9" s="145"/>
      <c r="C9" s="16" t="s">
        <v>23</v>
      </c>
      <c r="D9" s="338" t="s">
        <v>47</v>
      </c>
      <c r="E9" s="715">
        <f>+A2.1.2!E9/A2.1.2!E$29</f>
        <v>3.1139839103157017E-2</v>
      </c>
      <c r="F9" s="715">
        <f>+A2.1.2!F9/A2.1.2!F$29</f>
        <v>7.4897843752721564E-3</v>
      </c>
      <c r="G9" s="716">
        <f>+A2.1.2!G9/A2.1.2!G$29</f>
        <v>7.3547303473954009E-3</v>
      </c>
      <c r="H9" s="715">
        <f>+A2.1.2!H9/A2.1.2!H$29</f>
        <v>2.4329219015354814E-2</v>
      </c>
      <c r="I9" s="715">
        <f>+A2.1.2!I9/A2.1.2!I$29</f>
        <v>5.8038618531154407E-3</v>
      </c>
      <c r="J9" s="716">
        <f>+A2.1.2!J9/A2.1.2!J$29</f>
        <v>5.7329148530213692E-3</v>
      </c>
      <c r="K9" s="715">
        <f>+A2.1.2!K9/A2.1.2!K$29</f>
        <v>2.3534242676021663E-2</v>
      </c>
      <c r="L9" s="715">
        <f>+A2.1.2!L9/A2.1.2!L$29</f>
        <v>5.2711428228913856E-3</v>
      </c>
      <c r="M9" s="716">
        <f>+A2.1.2!M9/A2.1.2!M$29</f>
        <v>5.0895252084037961E-3</v>
      </c>
      <c r="N9" s="715">
        <f>+A2.1.2!N9/A2.1.2!N$29</f>
        <v>2.1347412115444813E-2</v>
      </c>
      <c r="O9" s="715">
        <f>+A2.1.2!O9/A2.1.2!O$29</f>
        <v>4.4052758435728871E-3</v>
      </c>
      <c r="P9" s="716">
        <f>+A2.1.2!P9/A2.1.2!P$29</f>
        <v>4.2552396160874077E-3</v>
      </c>
    </row>
    <row r="10" spans="2:16" s="50" customFormat="1" ht="13.35" customHeight="1" x14ac:dyDescent="0.2">
      <c r="B10" s="145"/>
      <c r="C10" s="16" t="s">
        <v>24</v>
      </c>
      <c r="D10" s="338" t="s">
        <v>48</v>
      </c>
      <c r="E10" s="715">
        <f>+A2.1.2!E10/A2.1.2!E$29</f>
        <v>3.1989456594922368E-2</v>
      </c>
      <c r="F10" s="715">
        <f>+A2.1.2!F10/A2.1.2!F$29</f>
        <v>9.1777121782121926E-3</v>
      </c>
      <c r="G10" s="716">
        <f>+A2.1.2!G10/A2.1.2!G$29</f>
        <v>9.2209290114448755E-3</v>
      </c>
      <c r="H10" s="715">
        <f>+A2.1.2!H10/A2.1.2!H$29</f>
        <v>3.5243418150904177E-2</v>
      </c>
      <c r="I10" s="715">
        <f>+A2.1.2!I10/A2.1.2!I$29</f>
        <v>1.0365772968986213E-2</v>
      </c>
      <c r="J10" s="716">
        <f>+A2.1.2!J10/A2.1.2!J$29</f>
        <v>1.0133783899457186E-2</v>
      </c>
      <c r="K10" s="715">
        <f>+A2.1.2!K10/A2.1.2!K$29</f>
        <v>3.3100612383062528E-2</v>
      </c>
      <c r="L10" s="715">
        <f>+A2.1.2!L10/A2.1.2!L$29</f>
        <v>9.2038389935921831E-3</v>
      </c>
      <c r="M10" s="716">
        <f>+A2.1.2!M10/A2.1.2!M$29</f>
        <v>8.7968783807808159E-3</v>
      </c>
      <c r="N10" s="715">
        <f>+A2.1.2!N10/A2.1.2!N$29</f>
        <v>2.7911554876300041E-2</v>
      </c>
      <c r="O10" s="715">
        <f>+A2.1.2!O10/A2.1.2!O$29</f>
        <v>7.202140679267977E-3</v>
      </c>
      <c r="P10" s="716">
        <f>+A2.1.2!P10/A2.1.2!P$29</f>
        <v>6.8787778971896221E-3</v>
      </c>
    </row>
    <row r="11" spans="2:16" s="1" customFormat="1" ht="13.35" customHeight="1" x14ac:dyDescent="0.2">
      <c r="B11" s="631"/>
      <c r="C11" s="16" t="s">
        <v>25</v>
      </c>
      <c r="D11" s="338" t="s">
        <v>49</v>
      </c>
      <c r="E11" s="715">
        <f>+A2.1.2!E11/A2.1.2!E$29</f>
        <v>4.0792885790317202E-2</v>
      </c>
      <c r="F11" s="715">
        <f>+A2.1.2!F11/A2.1.2!F$29</f>
        <v>1.3747595339076499E-2</v>
      </c>
      <c r="G11" s="716">
        <f>+A2.1.2!G11/A2.1.2!G$29</f>
        <v>1.3841517068178424E-2</v>
      </c>
      <c r="H11" s="715">
        <f>+A2.1.2!H11/A2.1.2!H$29</f>
        <v>3.7278783930927123E-2</v>
      </c>
      <c r="I11" s="715">
        <f>+A2.1.2!I11/A2.1.2!I$29</f>
        <v>1.2681912617637734E-2</v>
      </c>
      <c r="J11" s="716">
        <f>+A2.1.2!J11/A2.1.2!J$29</f>
        <v>1.26497416877666E-2</v>
      </c>
      <c r="K11" s="715">
        <f>+A2.1.2!K11/A2.1.2!K$29</f>
        <v>3.4103428114229443E-2</v>
      </c>
      <c r="L11" s="715">
        <f>+A2.1.2!L11/A2.1.2!L$29</f>
        <v>1.0927261041910509E-2</v>
      </c>
      <c r="M11" s="716">
        <f>+A2.1.2!M11/A2.1.2!M$29</f>
        <v>1.0618631325537083E-2</v>
      </c>
      <c r="N11" s="715">
        <f>+A2.1.2!N11/A2.1.2!N$29</f>
        <v>3.0526366687959199E-2</v>
      </c>
      <c r="O11" s="715">
        <f>+A2.1.2!O11/A2.1.2!O$29</f>
        <v>9.0155176750071203E-3</v>
      </c>
      <c r="P11" s="716">
        <f>+A2.1.2!P11/A2.1.2!P$29</f>
        <v>8.7843241485412935E-3</v>
      </c>
    </row>
    <row r="12" spans="2:16" s="1" customFormat="1" ht="13.35" customHeight="1" x14ac:dyDescent="0.2">
      <c r="B12" s="631"/>
      <c r="C12" s="16" t="s">
        <v>26</v>
      </c>
      <c r="D12" s="338" t="s">
        <v>50</v>
      </c>
      <c r="E12" s="715">
        <f>+A2.1.2!E12/A2.1.2!E$29</f>
        <v>4.1930448071374658E-2</v>
      </c>
      <c r="F12" s="715">
        <f>+A2.1.2!F12/A2.1.2!F$29</f>
        <v>1.6335567100389043E-2</v>
      </c>
      <c r="G12" s="716">
        <f>+A2.1.2!G12/A2.1.2!G$29</f>
        <v>1.6373192295638436E-2</v>
      </c>
      <c r="H12" s="715">
        <f>+A2.1.2!H12/A2.1.2!H$29</f>
        <v>4.5850512980155383E-2</v>
      </c>
      <c r="I12" s="715">
        <f>+A2.1.2!I12/A2.1.2!I$29</f>
        <v>1.7879901870635442E-2</v>
      </c>
      <c r="J12" s="716">
        <f>+A2.1.2!J12/A2.1.2!J$29</f>
        <v>1.7863625810317141E-2</v>
      </c>
      <c r="K12" s="715">
        <f>+A2.1.2!K12/A2.1.2!K$29</f>
        <v>3.7899856905465289E-2</v>
      </c>
      <c r="L12" s="715">
        <f>+A2.1.2!L12/A2.1.2!L$29</f>
        <v>1.3895331706212339E-2</v>
      </c>
      <c r="M12" s="716">
        <f>+A2.1.2!M12/A2.1.2!M$29</f>
        <v>1.3614360243958297E-2</v>
      </c>
      <c r="N12" s="715">
        <f>+A2.1.2!N12/A2.1.2!N$29</f>
        <v>3.3607486932303254E-2</v>
      </c>
      <c r="O12" s="715">
        <f>+A2.1.2!O12/A2.1.2!O$29</f>
        <v>1.1369359478822455E-2</v>
      </c>
      <c r="P12" s="716">
        <f>+A2.1.2!P12/A2.1.2!P$29</f>
        <v>1.1143113780377533E-2</v>
      </c>
    </row>
    <row r="13" spans="2:16" s="1" customFormat="1" ht="13.35" customHeight="1" x14ac:dyDescent="0.2">
      <c r="B13" s="631"/>
      <c r="C13" s="16" t="s">
        <v>27</v>
      </c>
      <c r="D13" s="338" t="s">
        <v>51</v>
      </c>
      <c r="E13" s="715">
        <f>+A2.1.2!E13/A2.1.2!E$29</f>
        <v>3.992841484589861E-2</v>
      </c>
      <c r="F13" s="715">
        <f>+A2.1.2!F13/A2.1.2!F$29</f>
        <v>1.7699460105202253E-2</v>
      </c>
      <c r="G13" s="716">
        <f>+A2.1.2!G13/A2.1.2!G$29</f>
        <v>1.7683539306751234E-2</v>
      </c>
      <c r="H13" s="715">
        <f>+A2.1.2!H13/A2.1.2!H$29</f>
        <v>4.2811060073681038E-2</v>
      </c>
      <c r="I13" s="715">
        <f>+A2.1.2!I13/A2.1.2!I$29</f>
        <v>1.8976778957535103E-2</v>
      </c>
      <c r="J13" s="716">
        <f>+A2.1.2!J13/A2.1.2!J$29</f>
        <v>1.8918471770519526E-2</v>
      </c>
      <c r="K13" s="715">
        <f>+A2.1.2!K13/A2.1.2!K$29</f>
        <v>3.9916643586903E-2</v>
      </c>
      <c r="L13" s="715">
        <f>+A2.1.2!L13/A2.1.2!L$29</f>
        <v>1.6374935703048845E-2</v>
      </c>
      <c r="M13" s="716">
        <f>+A2.1.2!M13/A2.1.2!M$29</f>
        <v>1.6235206384509152E-2</v>
      </c>
      <c r="N13" s="715">
        <f>+A2.1.2!N13/A2.1.2!N$29</f>
        <v>3.6499108199804745E-2</v>
      </c>
      <c r="O13" s="715">
        <f>+A2.1.2!O13/A2.1.2!O$29</f>
        <v>1.3971478344000957E-2</v>
      </c>
      <c r="P13" s="716">
        <f>+A2.1.2!P13/A2.1.2!P$29</f>
        <v>1.3729793673354402E-2</v>
      </c>
    </row>
    <row r="14" spans="2:16" s="1" customFormat="1" ht="13.35" customHeight="1" x14ac:dyDescent="0.2">
      <c r="B14" s="631"/>
      <c r="C14" s="16" t="s">
        <v>28</v>
      </c>
      <c r="D14" s="338" t="s">
        <v>52</v>
      </c>
      <c r="E14" s="715">
        <f>+A2.1.2!E14/A2.1.2!E$29</f>
        <v>3.8289018057342389E-2</v>
      </c>
      <c r="F14" s="715">
        <f>+A2.1.2!F14/A2.1.2!F$29</f>
        <v>1.8992786846585109E-2</v>
      </c>
      <c r="G14" s="716">
        <f>+A2.1.2!G14/A2.1.2!G$29</f>
        <v>1.8945537811787608E-2</v>
      </c>
      <c r="H14" s="715">
        <f>+A2.1.2!H14/A2.1.2!H$29</f>
        <v>3.9121409768716066E-2</v>
      </c>
      <c r="I14" s="715">
        <f>+A2.1.2!I14/A2.1.2!I$29</f>
        <v>1.9447386262171282E-2</v>
      </c>
      <c r="J14" s="716">
        <f>+A2.1.2!J14/A2.1.2!J$29</f>
        <v>1.9353327671391831E-2</v>
      </c>
      <c r="K14" s="715">
        <f>+A2.1.2!K14/A2.1.2!K$29</f>
        <v>3.8848435192023634E-2</v>
      </c>
      <c r="L14" s="715">
        <f>+A2.1.2!L14/A2.1.2!L$29</f>
        <v>1.7489743769747802E-2</v>
      </c>
      <c r="M14" s="716">
        <f>+A2.1.2!M14/A2.1.2!M$29</f>
        <v>1.7653321036665132E-2</v>
      </c>
      <c r="N14" s="715">
        <f>+A2.1.2!N14/A2.1.2!N$29</f>
        <v>3.7961852368159708E-2</v>
      </c>
      <c r="O14" s="715">
        <f>+A2.1.2!O14/A2.1.2!O$29</f>
        <v>1.603359901730033E-2</v>
      </c>
      <c r="P14" s="716">
        <f>+A2.1.2!P14/A2.1.2!P$29</f>
        <v>1.5928436315082537E-2</v>
      </c>
    </row>
    <row r="15" spans="2:16" customFormat="1" ht="13.35" customHeight="1" x14ac:dyDescent="0.2">
      <c r="B15" s="631"/>
      <c r="C15" s="16" t="s">
        <v>29</v>
      </c>
      <c r="D15" s="338" t="s">
        <v>53</v>
      </c>
      <c r="E15" s="715">
        <f>+A2.1.2!E15/A2.1.2!E$29</f>
        <v>3.9296506531593611E-2</v>
      </c>
      <c r="F15" s="715">
        <f>+A2.1.2!F15/A2.1.2!F$29</f>
        <v>2.1616876591489771E-2</v>
      </c>
      <c r="G15" s="716">
        <f>+A2.1.2!G15/A2.1.2!G$29</f>
        <v>2.1507136758928024E-2</v>
      </c>
      <c r="H15" s="715">
        <f>+A2.1.2!H15/A2.1.2!H$29</f>
        <v>3.7709649673161844E-2</v>
      </c>
      <c r="I15" s="715">
        <f>+A2.1.2!I15/A2.1.2!I$29</f>
        <v>2.0703726562737827E-2</v>
      </c>
      <c r="J15" s="716">
        <f>+A2.1.2!J15/A2.1.2!J$29</f>
        <v>2.0587565311484805E-2</v>
      </c>
      <c r="K15" s="715">
        <f>+A2.1.2!K15/A2.1.2!K$29</f>
        <v>3.574613029295913E-2</v>
      </c>
      <c r="L15" s="715">
        <f>+A2.1.2!L15/A2.1.2!L$29</f>
        <v>1.7714380034271539E-2</v>
      </c>
      <c r="M15" s="716">
        <f>+A2.1.2!M15/A2.1.2!M$29</f>
        <v>1.7956747493209274E-2</v>
      </c>
      <c r="N15" s="715">
        <f>+A2.1.2!N15/A2.1.2!N$29</f>
        <v>3.7172534315856813E-2</v>
      </c>
      <c r="O15" s="715">
        <f>+A2.1.2!O15/A2.1.2!O$29</f>
        <v>1.7057051370155146E-2</v>
      </c>
      <c r="P15" s="716">
        <f>+A2.1.2!P15/A2.1.2!P$29</f>
        <v>1.7230627319734536E-2</v>
      </c>
    </row>
    <row r="16" spans="2:16" customFormat="1" ht="13.35" customHeight="1" x14ac:dyDescent="0.2">
      <c r="B16" s="631"/>
      <c r="C16" s="16" t="s">
        <v>30</v>
      </c>
      <c r="D16" s="338" t="s">
        <v>54</v>
      </c>
      <c r="E16" s="715">
        <f>+A2.1.2!E16/A2.1.2!E$29</f>
        <v>4.2487240353690413E-2</v>
      </c>
      <c r="F16" s="715">
        <f>+A2.1.2!F16/A2.1.2!F$29</f>
        <v>2.5598320801837441E-2</v>
      </c>
      <c r="G16" s="716">
        <f>+A2.1.2!G16/A2.1.2!G$29</f>
        <v>2.5469106637115328E-2</v>
      </c>
      <c r="H16" s="715">
        <f>+A2.1.2!H16/A2.1.2!H$29</f>
        <v>3.8384839284079084E-2</v>
      </c>
      <c r="I16" s="715">
        <f>+A2.1.2!I16/A2.1.2!I$29</f>
        <v>2.3177700087711296E-2</v>
      </c>
      <c r="J16" s="716">
        <f>+A2.1.2!J16/A2.1.2!J$29</f>
        <v>2.3009039934424359E-2</v>
      </c>
      <c r="K16" s="715">
        <f>+A2.1.2!K16/A2.1.2!K$29</f>
        <v>3.4592142109798128E-2</v>
      </c>
      <c r="L16" s="715">
        <f>+A2.1.2!L16/A2.1.2!L$29</f>
        <v>1.8832606082395162E-2</v>
      </c>
      <c r="M16" s="716">
        <f>+A2.1.2!M16/A2.1.2!M$29</f>
        <v>1.9051800421325083E-2</v>
      </c>
      <c r="N16" s="715">
        <f>+A2.1.2!N16/A2.1.2!N$29</f>
        <v>3.5395394117740335E-2</v>
      </c>
      <c r="O16" s="715">
        <f>+A2.1.2!O16/A2.1.2!O$29</f>
        <v>1.7728912707365183E-2</v>
      </c>
      <c r="P16" s="716">
        <f>+A2.1.2!P16/A2.1.2!P$29</f>
        <v>1.7996137512438282E-2</v>
      </c>
    </row>
    <row r="17" spans="2:16" customFormat="1" ht="13.35" customHeight="1" x14ac:dyDescent="0.2">
      <c r="B17" s="631"/>
      <c r="C17" s="16" t="s">
        <v>31</v>
      </c>
      <c r="D17" s="338" t="s">
        <v>55</v>
      </c>
      <c r="E17" s="715">
        <f>+A2.1.2!E17/A2.1.2!E$29</f>
        <v>3.8967396459233958E-2</v>
      </c>
      <c r="F17" s="715">
        <f>+A2.1.2!F17/A2.1.2!F$29</f>
        <v>2.5586777114505403E-2</v>
      </c>
      <c r="G17" s="716">
        <f>+A2.1.2!G17/A2.1.2!G$29</f>
        <v>2.5350019939498668E-2</v>
      </c>
      <c r="H17" s="715">
        <f>+A2.1.2!H17/A2.1.2!H$29</f>
        <v>3.8248281835380094E-2</v>
      </c>
      <c r="I17" s="715">
        <f>+A2.1.2!I17/A2.1.2!I$29</f>
        <v>2.5110353458125463E-2</v>
      </c>
      <c r="J17" s="716">
        <f>+A2.1.2!J17/A2.1.2!J$29</f>
        <v>2.4871745987414574E-2</v>
      </c>
      <c r="K17" s="715">
        <f>+A2.1.2!K17/A2.1.2!K$29</f>
        <v>3.2482074716888229E-2</v>
      </c>
      <c r="L17" s="715">
        <f>+A2.1.2!L17/A2.1.2!L$29</f>
        <v>1.9227070970874349E-2</v>
      </c>
      <c r="M17" s="716">
        <f>+A2.1.2!M17/A2.1.2!M$29</f>
        <v>1.9426418600694946E-2</v>
      </c>
      <c r="N17" s="715">
        <f>+A2.1.2!N17/A2.1.2!N$29</f>
        <v>3.3048778172067028E-2</v>
      </c>
      <c r="O17" s="715">
        <f>+A2.1.2!O17/A2.1.2!O$29</f>
        <v>1.7974458140270815E-2</v>
      </c>
      <c r="P17" s="716">
        <f>+A2.1.2!P17/A2.1.2!P$29</f>
        <v>1.823226591011988E-2</v>
      </c>
    </row>
    <row r="18" spans="2:16" customFormat="1" ht="13.35" customHeight="1" x14ac:dyDescent="0.2">
      <c r="B18" s="631"/>
      <c r="C18" s="16" t="s">
        <v>32</v>
      </c>
      <c r="D18" s="338" t="s">
        <v>56</v>
      </c>
      <c r="E18" s="715">
        <f>+A2.1.2!E18/A2.1.2!E$29</f>
        <v>3.7117717219544002E-2</v>
      </c>
      <c r="F18" s="715">
        <f>+A2.1.2!F18/A2.1.2!F$29</f>
        <v>2.6348295908594204E-2</v>
      </c>
      <c r="G18" s="716">
        <f>+A2.1.2!G18/A2.1.2!G$29</f>
        <v>2.6117621023232292E-2</v>
      </c>
      <c r="H18" s="715">
        <f>+A2.1.2!H18/A2.1.2!H$29</f>
        <v>3.53261923584611E-2</v>
      </c>
      <c r="I18" s="715">
        <f>+A2.1.2!I18/A2.1.2!I$29</f>
        <v>2.5023785651247039E-2</v>
      </c>
      <c r="J18" s="716">
        <f>+A2.1.2!J18/A2.1.2!J$29</f>
        <v>2.4795800324401745E-2</v>
      </c>
      <c r="K18" s="715">
        <f>+A2.1.2!K18/A2.1.2!K$29</f>
        <v>3.1497915128015759E-2</v>
      </c>
      <c r="L18" s="715">
        <f>+A2.1.2!L18/A2.1.2!L$29</f>
        <v>2.0185580950178653E-2</v>
      </c>
      <c r="M18" s="716">
        <f>+A2.1.2!M18/A2.1.2!M$29</f>
        <v>2.0344477858015967E-2</v>
      </c>
      <c r="N18" s="715">
        <f>+A2.1.2!N18/A2.1.2!N$29</f>
        <v>3.1125598473202044E-2</v>
      </c>
      <c r="O18" s="715">
        <f>+A2.1.2!O18/A2.1.2!O$29</f>
        <v>1.8378004885203348E-2</v>
      </c>
      <c r="P18" s="716">
        <f>+A2.1.2!P18/A2.1.2!P$29</f>
        <v>1.855683700951144E-2</v>
      </c>
    </row>
    <row r="19" spans="2:16" customFormat="1" ht="13.35" customHeight="1" x14ac:dyDescent="0.2">
      <c r="B19" s="631"/>
      <c r="C19" s="16" t="s">
        <v>33</v>
      </c>
      <c r="D19" s="338" t="s">
        <v>57</v>
      </c>
      <c r="E19" s="715">
        <f>+A2.1.2!E19/A2.1.2!E$29</f>
        <v>4.495588418465897E-2</v>
      </c>
      <c r="F19" s="715">
        <f>+A2.1.2!F19/A2.1.2!F$29</f>
        <v>3.408118334427028E-2</v>
      </c>
      <c r="G19" s="716">
        <f>+A2.1.2!G19/A2.1.2!G$29</f>
        <v>3.3951100427175716E-2</v>
      </c>
      <c r="H19" s="715">
        <f>+A2.1.2!H19/A2.1.2!H$29</f>
        <v>3.2258548236369547E-2</v>
      </c>
      <c r="I19" s="715">
        <f>+A2.1.2!I19/A2.1.2!I$29</f>
        <v>2.4522382041072866E-2</v>
      </c>
      <c r="J19" s="716">
        <f>+A2.1.2!J19/A2.1.2!J$29</f>
        <v>2.4316322714129583E-2</v>
      </c>
      <c r="K19" s="715">
        <f>+A2.1.2!K19/A2.1.2!K$29</f>
        <v>3.2403988183161002E-2</v>
      </c>
      <c r="L19" s="715">
        <f>+A2.1.2!L19/A2.1.2!L$29</f>
        <v>2.2212526755365995E-2</v>
      </c>
      <c r="M19" s="716">
        <f>+A2.1.2!M19/A2.1.2!M$29</f>
        <v>2.2503181183936884E-2</v>
      </c>
      <c r="N19" s="715">
        <f>+A2.1.2!N19/A2.1.2!N$29</f>
        <v>3.0452759647367461E-2</v>
      </c>
      <c r="O19" s="715">
        <f>+A2.1.2!O19/A2.1.2!O$29</f>
        <v>1.9305029570425073E-2</v>
      </c>
      <c r="P19" s="716">
        <f>+A2.1.2!P19/A2.1.2!P$29</f>
        <v>1.9503645074001898E-2</v>
      </c>
    </row>
    <row r="20" spans="2:16" customFormat="1" ht="13.35" customHeight="1" x14ac:dyDescent="0.2">
      <c r="B20" s="631"/>
      <c r="C20" s="16" t="s">
        <v>34</v>
      </c>
      <c r="D20" s="338" t="s">
        <v>58</v>
      </c>
      <c r="E20" s="715">
        <f>+A2.1.2!E20/A2.1.2!E$29</f>
        <v>0.1467120078918516</v>
      </c>
      <c r="F20" s="715">
        <f>+A2.1.2!F20/A2.1.2!F$29</f>
        <v>0.13261591520655441</v>
      </c>
      <c r="G20" s="716">
        <f>+A2.1.2!G20/A2.1.2!G$29</f>
        <v>0.13210906516170726</v>
      </c>
      <c r="H20" s="715">
        <f>+A2.1.2!H20/A2.1.2!H$29</f>
        <v>0.14719853293713678</v>
      </c>
      <c r="I20" s="715">
        <f>+A2.1.2!I20/A2.1.2!I$29</f>
        <v>0.13363092019948547</v>
      </c>
      <c r="J20" s="716">
        <f>+A2.1.2!J20/A2.1.2!J$29</f>
        <v>0.13295419214940388</v>
      </c>
      <c r="K20" s="715">
        <f>+A2.1.2!K20/A2.1.2!K$29</f>
        <v>0.14250042312900049</v>
      </c>
      <c r="L20" s="715">
        <f>+A2.1.2!L20/A2.1.2!L$29</f>
        <v>0.11734395346067357</v>
      </c>
      <c r="M20" s="716">
        <f>+A2.1.2!M20/A2.1.2!M$29</f>
        <v>0.11862517372730422</v>
      </c>
      <c r="N20" s="715">
        <f>+A2.1.2!N20/A2.1.2!N$29</f>
        <v>0.13921655876514011</v>
      </c>
      <c r="O20" s="715">
        <f>+A2.1.2!O20/A2.1.2!O$29</f>
        <v>0.10536881515751649</v>
      </c>
      <c r="P20" s="716">
        <f>+A2.1.2!P20/A2.1.2!P$29</f>
        <v>0.10681367790141423</v>
      </c>
    </row>
    <row r="21" spans="2:16" customFormat="1" ht="13.35" customHeight="1" x14ac:dyDescent="0.2">
      <c r="B21" s="631"/>
      <c r="C21" s="16" t="s">
        <v>35</v>
      </c>
      <c r="D21" s="338" t="s">
        <v>59</v>
      </c>
      <c r="E21" s="715">
        <f>+A2.1.2!E21/A2.1.2!E$29</f>
        <v>0.1343025847766115</v>
      </c>
      <c r="F21" s="715">
        <f>+A2.1.2!F21/A2.1.2!F$29</f>
        <v>0.16926897098028146</v>
      </c>
      <c r="G21" s="716">
        <f>+A2.1.2!G21/A2.1.2!G$29</f>
        <v>0.16930947400688809</v>
      </c>
      <c r="H21" s="715">
        <f>+A2.1.2!H21/A2.1.2!H$29</f>
        <v>0.14873625378332112</v>
      </c>
      <c r="I21" s="715">
        <f>+A2.1.2!I21/A2.1.2!I$29</f>
        <v>0.18657735854566956</v>
      </c>
      <c r="J21" s="716">
        <f>+A2.1.2!J21/A2.1.2!J$29</f>
        <v>0.18632814376177639</v>
      </c>
      <c r="K21" s="715">
        <f>+A2.1.2!K21/A2.1.2!K$29</f>
        <v>0.17363713995568686</v>
      </c>
      <c r="L21" s="715">
        <f>+A2.1.2!L21/A2.1.2!L$29</f>
        <v>0.19847146241826838</v>
      </c>
      <c r="M21" s="716">
        <f>+A2.1.2!M21/A2.1.2!M$29</f>
        <v>0.20125669484710221</v>
      </c>
      <c r="N21" s="715">
        <f>+A2.1.2!N21/A2.1.2!N$29</f>
        <v>0.18812295586298675</v>
      </c>
      <c r="O21" s="715">
        <f>+A2.1.2!O21/A2.1.2!O$29</f>
        <v>0.19951940143776173</v>
      </c>
      <c r="P21" s="716">
        <f>+A2.1.2!P21/A2.1.2!P$29</f>
        <v>0.20279215937709902</v>
      </c>
    </row>
    <row r="22" spans="2:16" customFormat="1" ht="13.35" customHeight="1" x14ac:dyDescent="0.2">
      <c r="B22" s="631"/>
      <c r="C22" s="16" t="s">
        <v>36</v>
      </c>
      <c r="D22" s="338" t="s">
        <v>60</v>
      </c>
      <c r="E22" s="715">
        <f>+A2.1.2!E22/A2.1.2!E$29</f>
        <v>6.1092462954958605E-2</v>
      </c>
      <c r="F22" s="715">
        <f>+A2.1.2!F22/A2.1.2!F$29</f>
        <v>0.10869163131954711</v>
      </c>
      <c r="G22" s="716">
        <f>+A2.1.2!G22/A2.1.2!G$29</f>
        <v>0.10966439172378457</v>
      </c>
      <c r="H22" s="715">
        <f>+A2.1.2!H22/A2.1.2!H$29</f>
        <v>6.2978375938057704E-2</v>
      </c>
      <c r="I22" s="715">
        <f>+A2.1.2!I22/A2.1.2!I$29</f>
        <v>0.11219647306257388</v>
      </c>
      <c r="J22" s="716">
        <f>+A2.1.2!J22/A2.1.2!J$29</f>
        <v>0.1128687140820125</v>
      </c>
      <c r="K22" s="715">
        <f>+A2.1.2!K22/A2.1.2!K$29</f>
        <v>7.1449563023141316E-2</v>
      </c>
      <c r="L22" s="715">
        <f>+A2.1.2!L22/A2.1.2!L$29</f>
        <v>0.1174587357338857</v>
      </c>
      <c r="M22" s="716">
        <f>+A2.1.2!M22/A2.1.2!M$29</f>
        <v>0.11781881183242979</v>
      </c>
      <c r="N22" s="715">
        <f>+A2.1.2!N22/A2.1.2!N$29</f>
        <v>8.0052159201849105E-2</v>
      </c>
      <c r="O22" s="715">
        <f>+A2.1.2!O22/A2.1.2!O$29</f>
        <v>0.12099085070803628</v>
      </c>
      <c r="P22" s="716">
        <f>+A2.1.2!P22/A2.1.2!P$29</f>
        <v>0.12165754374469177</v>
      </c>
    </row>
    <row r="23" spans="2:16" customFormat="1" ht="13.35" customHeight="1" x14ac:dyDescent="0.2">
      <c r="B23" s="631"/>
      <c r="C23" s="16" t="s">
        <v>37</v>
      </c>
      <c r="D23" s="338" t="s">
        <v>61</v>
      </c>
      <c r="E23" s="715">
        <f>+A2.1.2!E23/A2.1.2!E$29</f>
        <v>3.2463281734560735E-2</v>
      </c>
      <c r="F23" s="715">
        <f>+A2.1.2!F23/A2.1.2!F$29</f>
        <v>7.4259209437943827E-2</v>
      </c>
      <c r="G23" s="716">
        <f>+A2.1.2!G23/A2.1.2!G$29</f>
        <v>7.5283424927314463E-2</v>
      </c>
      <c r="H23" s="715">
        <f>+A2.1.2!H23/A2.1.2!H$29</f>
        <v>3.3210651560973602E-2</v>
      </c>
      <c r="I23" s="715">
        <f>+A2.1.2!I23/A2.1.2!I$29</f>
        <v>7.5940852250244384E-2</v>
      </c>
      <c r="J23" s="716">
        <f>+A2.1.2!J23/A2.1.2!J$29</f>
        <v>7.6891114200076258E-2</v>
      </c>
      <c r="K23" s="715">
        <f>+A2.1.2!K23/A2.1.2!K$29</f>
        <v>3.9138663220088625E-2</v>
      </c>
      <c r="L23" s="715">
        <f>+A2.1.2!L23/A2.1.2!L$29</f>
        <v>8.3163043354960206E-2</v>
      </c>
      <c r="M23" s="716">
        <f>+A2.1.2!M23/A2.1.2!M$29</f>
        <v>8.3309142031704683E-2</v>
      </c>
      <c r="N23" s="715">
        <f>+A2.1.2!N23/A2.1.2!N$29</f>
        <v>4.40371739046597E-2</v>
      </c>
      <c r="O23" s="715">
        <f>+A2.1.2!O23/A2.1.2!O$29</f>
        <v>8.6414620587518212E-2</v>
      </c>
      <c r="P23" s="716">
        <f>+A2.1.2!P23/A2.1.2!P$29</f>
        <v>8.6627707817227256E-2</v>
      </c>
    </row>
    <row r="24" spans="2:16" customFormat="1" ht="13.35" customHeight="1" x14ac:dyDescent="0.2">
      <c r="B24" s="631"/>
      <c r="C24" s="16" t="s">
        <v>38</v>
      </c>
      <c r="D24" s="338" t="s">
        <v>62</v>
      </c>
      <c r="E24" s="715">
        <f>+A2.1.2!E24/A2.1.2!E$29</f>
        <v>3.6350005909552237E-2</v>
      </c>
      <c r="F24" s="715">
        <f>+A2.1.2!F24/A2.1.2!F$29</f>
        <v>0.11215564627545846</v>
      </c>
      <c r="G24" s="716">
        <f>+A2.1.2!G24/A2.1.2!G$29</f>
        <v>0.11365601135462194</v>
      </c>
      <c r="H24" s="715">
        <f>+A2.1.2!H24/A2.1.2!H$29</f>
        <v>3.7206206546040253E-2</v>
      </c>
      <c r="I24" s="715">
        <f>+A2.1.2!I24/A2.1.2!I$29</f>
        <v>0.11513452564173911</v>
      </c>
      <c r="J24" s="716">
        <f>+A2.1.2!J24/A2.1.2!J$29</f>
        <v>0.11658272387749097</v>
      </c>
      <c r="K24" s="715">
        <f>+A2.1.2!K24/A2.1.2!K$29</f>
        <v>4.2095373276710979E-2</v>
      </c>
      <c r="L24" s="715">
        <f>+A2.1.2!L24/A2.1.2!L$29</f>
        <v>0.12153520443412745</v>
      </c>
      <c r="M24" s="716">
        <f>+A2.1.2!M24/A2.1.2!M$29</f>
        <v>0.12139384119832949</v>
      </c>
      <c r="N24" s="715">
        <f>+A2.1.2!N24/A2.1.2!N$29</f>
        <v>4.7957336106387229E-2</v>
      </c>
      <c r="O24" s="715">
        <f>+A2.1.2!O24/A2.1.2!O$29</f>
        <v>0.12802117970956953</v>
      </c>
      <c r="P24" s="716">
        <f>+A2.1.2!P24/A2.1.2!P$29</f>
        <v>0.12774416693786586</v>
      </c>
    </row>
    <row r="25" spans="2:16" customFormat="1" ht="13.35" customHeight="1" x14ac:dyDescent="0.2">
      <c r="B25" s="631"/>
      <c r="C25" s="16" t="s">
        <v>39</v>
      </c>
      <c r="D25" s="338" t="s">
        <v>63</v>
      </c>
      <c r="E25" s="715">
        <f>+A2.1.2!E25/A2.1.2!E$29</f>
        <v>1.2397328160936735E-2</v>
      </c>
      <c r="F25" s="715">
        <f>+A2.1.2!F25/A2.1.2!F$29</f>
        <v>5.537867964596193E-2</v>
      </c>
      <c r="G25" s="716">
        <f>+A2.1.2!G25/A2.1.2!G$29</f>
        <v>5.5288204752686143E-2</v>
      </c>
      <c r="H25" s="715">
        <f>+A2.1.2!H25/A2.1.2!H$29</f>
        <v>1.2546290575856564E-2</v>
      </c>
      <c r="I25" s="715">
        <f>+A2.1.2!I25/A2.1.2!I$29</f>
        <v>5.5666699356687568E-2</v>
      </c>
      <c r="J25" s="716">
        <f>+A2.1.2!J25/A2.1.2!J$29</f>
        <v>5.5828490527719862E-2</v>
      </c>
      <c r="K25" s="715">
        <f>+A2.1.2!K25/A2.1.2!K$29</f>
        <v>1.4836056745445593E-2</v>
      </c>
      <c r="L25" s="715">
        <f>+A2.1.2!L25/A2.1.2!L$29</f>
        <v>6.1367128183783592E-2</v>
      </c>
      <c r="M25" s="716">
        <f>+A2.1.2!M25/A2.1.2!M$29</f>
        <v>6.0683406609258486E-2</v>
      </c>
      <c r="N25" s="715">
        <f>+A2.1.2!N25/A2.1.2!N$29</f>
        <v>1.7430382128210544E-2</v>
      </c>
      <c r="O25" s="715">
        <f>+A2.1.2!O25/A2.1.2!O$29</f>
        <v>6.6658107562668892E-2</v>
      </c>
      <c r="P25" s="716">
        <f>+A2.1.2!P25/A2.1.2!P$29</f>
        <v>6.5871421384346276E-2</v>
      </c>
    </row>
    <row r="26" spans="2:16" customFormat="1" ht="13.35" customHeight="1" x14ac:dyDescent="0.2">
      <c r="B26" s="631"/>
      <c r="C26" s="16" t="s">
        <v>40</v>
      </c>
      <c r="D26" s="338" t="s">
        <v>64</v>
      </c>
      <c r="E26" s="715">
        <f>+A2.1.2!E26/A2.1.2!E$29</f>
        <v>1.100619622387039E-2</v>
      </c>
      <c r="F26" s="715">
        <f>+A2.1.2!F26/A2.1.2!F$29</f>
        <v>7.775602016704436E-2</v>
      </c>
      <c r="G26" s="716">
        <f>+A2.1.2!G26/A2.1.2!G$29</f>
        <v>7.6028162268795899E-2</v>
      </c>
      <c r="H26" s="715">
        <f>+A2.1.2!H26/A2.1.2!H$29</f>
        <v>1.0529519001879014E-2</v>
      </c>
      <c r="I26" s="715">
        <f>+A2.1.2!I26/A2.1.2!I$29</f>
        <v>7.363569876720602E-2</v>
      </c>
      <c r="J26" s="716">
        <f>+A2.1.2!J26/A2.1.2!J$29</f>
        <v>7.2335679947990145E-2</v>
      </c>
      <c r="K26" s="715">
        <f>+A2.1.2!K26/A2.1.2!K$29</f>
        <v>1.2353828163466272E-2</v>
      </c>
      <c r="L26" s="715">
        <f>+A2.1.2!L26/A2.1.2!L$29</f>
        <v>8.0622041403103833E-2</v>
      </c>
      <c r="M26" s="716">
        <f>+A2.1.2!M26/A2.1.2!M$29</f>
        <v>7.8008953612123552E-2</v>
      </c>
      <c r="N26" s="715">
        <f>+A2.1.2!N26/A2.1.2!N$29</f>
        <v>1.4339669476980866E-2</v>
      </c>
      <c r="O26" s="715">
        <f>+A2.1.2!O26/A2.1.2!O$29</f>
        <v>8.6271933782468127E-2</v>
      </c>
      <c r="P26" s="716">
        <f>+A2.1.2!P26/A2.1.2!P$29</f>
        <v>8.3555964525941953E-2</v>
      </c>
    </row>
    <row r="27" spans="2:16" customFormat="1" ht="13.35" customHeight="1" x14ac:dyDescent="0.2">
      <c r="B27" s="631"/>
      <c r="C27" s="16" t="s">
        <v>41</v>
      </c>
      <c r="D27" s="338" t="s">
        <v>65</v>
      </c>
      <c r="E27" s="715">
        <f>+A2.1.2!E27/A2.1.2!E$29</f>
        <v>2.8270364242731728E-3</v>
      </c>
      <c r="F27" s="715">
        <f>+A2.1.2!F27/A2.1.2!F$29</f>
        <v>4.421770307412589E-2</v>
      </c>
      <c r="G27" s="716">
        <f>+A2.1.2!G27/A2.1.2!G$29</f>
        <v>4.2010571473342896E-2</v>
      </c>
      <c r="H27" s="715">
        <f>+A2.1.2!H27/A2.1.2!H$29</f>
        <v>2.5789963847265194E-3</v>
      </c>
      <c r="I27" s="715">
        <f>+A2.1.2!I27/A2.1.2!I$29</f>
        <v>3.9903924322283839E-2</v>
      </c>
      <c r="J27" s="716">
        <f>+A2.1.2!J27/A2.1.2!J$29</f>
        <v>3.8000329346347561E-2</v>
      </c>
      <c r="K27" s="715">
        <f>+A2.1.2!K27/A2.1.2!K$29</f>
        <v>2.9572870507139342E-3</v>
      </c>
      <c r="L27" s="715">
        <f>+A2.1.2!L27/A2.1.2!L$29</f>
        <v>4.2879165054340557E-2</v>
      </c>
      <c r="M27" s="716">
        <f>+A2.1.2!M27/A2.1.2!M$29</f>
        <v>4.0123369361777322E-2</v>
      </c>
      <c r="N27" s="715">
        <f>+A2.1.2!N27/A2.1.2!N$29</f>
        <v>3.3185812556147391E-3</v>
      </c>
      <c r="O27" s="715">
        <f>+A2.1.2!O27/A2.1.2!O$29</f>
        <v>4.4362229045366887E-2</v>
      </c>
      <c r="P27" s="716">
        <f>+A2.1.2!P27/A2.1.2!P$29</f>
        <v>4.1617195752147951E-2</v>
      </c>
    </row>
    <row r="28" spans="2:16" customFormat="1" ht="13.35" customHeight="1" x14ac:dyDescent="0.2">
      <c r="B28" s="632"/>
      <c r="C28" s="280" t="s">
        <v>42</v>
      </c>
      <c r="D28" s="434" t="s">
        <v>66</v>
      </c>
      <c r="E28" s="717">
        <f>+A2.1.2!E28/A2.1.2!E$29</f>
        <v>5.0989781036766754E-4</v>
      </c>
      <c r="F28" s="717">
        <f>+A2.1.2!F28/A2.1.2!F$29</f>
        <v>2.5280203485205315E-2</v>
      </c>
      <c r="G28" s="718">
        <f>+A2.1.2!G28/A2.1.2!G$29</f>
        <v>2.3602436940674213E-2</v>
      </c>
      <c r="H28" s="717">
        <f>+A2.1.2!H28/A2.1.2!H$29</f>
        <v>4.1347116238580061E-4</v>
      </c>
      <c r="I28" s="717">
        <f>+A2.1.2!I28/A2.1.2!I$29</f>
        <v>1.9695634130376807E-2</v>
      </c>
      <c r="J28" s="718">
        <f>+A2.1.2!J28/A2.1.2!J$29</f>
        <v>1.8508965896678518E-2</v>
      </c>
      <c r="K28" s="717">
        <f>+A2.1.2!K28/A2.1.2!K$29</f>
        <v>4.5428668143771543E-4</v>
      </c>
      <c r="L28" s="717">
        <f>+A2.1.2!L28/A2.1.2!L$29</f>
        <v>2.0044471432031263E-2</v>
      </c>
      <c r="M28" s="718">
        <f>+A2.1.2!M28/A2.1.2!M$29</f>
        <v>1.8304553186169782E-2</v>
      </c>
      <c r="N28" s="717">
        <f>+A2.1.2!N28/A2.1.2!N$29</f>
        <v>5.4559261204567468E-4</v>
      </c>
      <c r="O28" s="717">
        <f>+A2.1.2!O28/A2.1.2!O$29</f>
        <v>2.3354198140321168E-2</v>
      </c>
      <c r="P28" s="718">
        <f>+A2.1.2!P28/A2.1.2!P$29</f>
        <v>2.1364712809305745E-2</v>
      </c>
    </row>
    <row r="29" spans="2:16" customFormat="1" ht="13.35" customHeight="1" x14ac:dyDescent="0.2">
      <c r="B29" s="632"/>
      <c r="C29" s="635" t="s">
        <v>8</v>
      </c>
      <c r="D29" s="636"/>
      <c r="E29" s="719">
        <f t="shared" ref="E29:P29" si="0">SUM(E4:E28)</f>
        <v>1</v>
      </c>
      <c r="F29" s="719">
        <f t="shared" si="0"/>
        <v>0.99999999999999989</v>
      </c>
      <c r="G29" s="720">
        <f t="shared" si="0"/>
        <v>1.0000000000000002</v>
      </c>
      <c r="H29" s="719">
        <f t="shared" si="0"/>
        <v>0.99999999999999989</v>
      </c>
      <c r="I29" s="719">
        <f t="shared" si="0"/>
        <v>1</v>
      </c>
      <c r="J29" s="720">
        <f t="shared" si="0"/>
        <v>0.99999999999999978</v>
      </c>
      <c r="K29" s="719">
        <f t="shared" si="0"/>
        <v>1</v>
      </c>
      <c r="L29" s="719">
        <f t="shared" si="0"/>
        <v>0.99999999999999989</v>
      </c>
      <c r="M29" s="720">
        <f t="shared" si="0"/>
        <v>1</v>
      </c>
      <c r="N29" s="719">
        <f t="shared" si="0"/>
        <v>1</v>
      </c>
      <c r="O29" s="719">
        <f t="shared" si="0"/>
        <v>0.99999999999999989</v>
      </c>
      <c r="P29" s="720">
        <f t="shared" si="0"/>
        <v>0.99999999999999967</v>
      </c>
    </row>
    <row r="30" spans="2:16" customFormat="1" ht="13.35" customHeight="1" x14ac:dyDescent="0.2">
      <c r="B30" s="631"/>
      <c r="C30" s="16"/>
      <c r="D30" s="338" t="s">
        <v>234</v>
      </c>
      <c r="E30" s="715">
        <f>+A2.1.2!E30/A2.1.2!E$29</f>
        <v>6.2747986349252632E-2</v>
      </c>
      <c r="F30" s="715">
        <f>+A2.1.2!F30/A2.1.2!F$29</f>
        <v>-2.3890927436399728E-2</v>
      </c>
      <c r="G30" s="716">
        <f>+A2.1.2!G30/A2.1.2!G$29</f>
        <v>-2.0642777702164487E-2</v>
      </c>
      <c r="H30" s="715">
        <f>+A2.1.2!H30/A2.1.2!H$29</f>
        <v>6.1967290992126854E-2</v>
      </c>
      <c r="I30" s="715">
        <f>+A2.1.2!I30/A2.1.2!I$29</f>
        <v>-2.3867339670498564E-2</v>
      </c>
      <c r="J30" s="716">
        <f>+A2.1.2!J30/A2.1.2!J$29</f>
        <v>-2.0560848408379247E-2</v>
      </c>
      <c r="K30" s="715">
        <f>+A2.1.2!K30/A2.1.2!K$29</f>
        <v>4.811361398325948E-2</v>
      </c>
      <c r="L30" s="715">
        <f>+A2.1.2!L30/A2.1.2!L$29</f>
        <v>-2.1863527848063898E-2</v>
      </c>
      <c r="M30" s="716">
        <f>+A2.1.2!M30/A2.1.2!M$29</f>
        <v>-1.8467391303707618E-2</v>
      </c>
      <c r="N30" s="715">
        <f>+A2.1.2!N30/A2.1.2!N$29</f>
        <v>3.7471660799963669E-2</v>
      </c>
      <c r="O30" s="715">
        <f>+A2.1.2!O30/A2.1.2!O$29</f>
        <v>-1.9729006871913254E-2</v>
      </c>
      <c r="P30" s="716">
        <f>+A2.1.2!P30/A2.1.2!P$29</f>
        <v>-1.6645449061812149E-2</v>
      </c>
    </row>
    <row r="31" spans="2:16" customFormat="1" ht="13.35" customHeight="1" x14ac:dyDescent="0.2">
      <c r="B31" s="631"/>
      <c r="C31" s="16"/>
      <c r="D31" s="338" t="s">
        <v>235</v>
      </c>
      <c r="E31" s="715">
        <f>+A2.1.2!E31/A2.1.2!E$29</f>
        <v>0.13582570025011093</v>
      </c>
      <c r="F31" s="715">
        <f>+A2.1.2!F31/A2.1.2!F$29</f>
        <v>2.4260084692326937E-2</v>
      </c>
      <c r="G31" s="716">
        <f>+A2.1.2!G31/A2.1.2!G$29</f>
        <v>2.4452263824043408E-2</v>
      </c>
      <c r="H31" s="715">
        <f>+A2.1.2!H31/A2.1.2!H$29</f>
        <v>0.1356451329765645</v>
      </c>
      <c r="I31" s="715">
        <f>+A2.1.2!I31/A2.1.2!I$29</f>
        <v>2.3961325885357928E-2</v>
      </c>
      <c r="J31" s="716">
        <f>+A2.1.2!J31/A2.1.2!J$29</f>
        <v>2.3896853407032913E-2</v>
      </c>
      <c r="K31" s="715">
        <f>+A2.1.2!K31/A2.1.2!K$29</f>
        <v>0.13497315054160511</v>
      </c>
      <c r="L31" s="715">
        <f>+A2.1.2!L31/A2.1.2!L$29</f>
        <v>2.2118885358884181E-2</v>
      </c>
      <c r="M31" s="716">
        <f>+A2.1.2!M31/A2.1.2!M$29</f>
        <v>2.1539300349656239E-2</v>
      </c>
      <c r="N31" s="715">
        <f>+A2.1.2!N31/A2.1.2!N$29</f>
        <v>0.12171805097170103</v>
      </c>
      <c r="O31" s="715">
        <f>+A2.1.2!O31/A2.1.2!O$29</f>
        <v>1.7934259552135429E-2</v>
      </c>
      <c r="P31" s="716">
        <f>+A2.1.2!P31/A2.1.2!P$29</f>
        <v>1.7495718068609958E-2</v>
      </c>
    </row>
    <row r="32" spans="2:16" customFormat="1" ht="13.35" customHeight="1" x14ac:dyDescent="0.2">
      <c r="B32" s="631"/>
      <c r="C32" s="16"/>
      <c r="D32" s="338" t="s">
        <v>236</v>
      </c>
      <c r="E32" s="715">
        <f>+A2.1.2!E32/A2.1.2!E$29</f>
        <v>0.24272451365021688</v>
      </c>
      <c r="F32" s="715">
        <f>+A2.1.2!F32/A2.1.2!F$29</f>
        <v>0.11399060678458012</v>
      </c>
      <c r="G32" s="716">
        <f>+A2.1.2!G32/A2.1.2!G$29</f>
        <v>0.11382002987839905</v>
      </c>
      <c r="H32" s="715">
        <f>+A2.1.2!H32/A2.1.2!H$29</f>
        <v>0.24115625571072055</v>
      </c>
      <c r="I32" s="715">
        <f>+A2.1.2!I32/A2.1.2!I$29</f>
        <v>0.11286740635842867</v>
      </c>
      <c r="J32" s="716">
        <f>+A2.1.2!J32/A2.1.2!J$29</f>
        <v>0.11238177218590427</v>
      </c>
      <c r="K32" s="715">
        <f>+A2.1.2!K32/A2.1.2!K$29</f>
        <v>0.22110663620137863</v>
      </c>
      <c r="L32" s="715">
        <f>+A2.1.2!L32/A2.1.2!L$29</f>
        <v>9.5234258337586183E-2</v>
      </c>
      <c r="M32" s="716">
        <f>+A2.1.2!M32/A2.1.2!M$29</f>
        <v>9.5130066905204022E-2</v>
      </c>
      <c r="N32" s="715">
        <f>+A2.1.2!N32/A2.1.2!N$29</f>
        <v>0.21116274262182405</v>
      </c>
      <c r="O32" s="715">
        <f>+A2.1.2!O32/A2.1.2!O$29</f>
        <v>8.5175918592651195E-2</v>
      </c>
      <c r="P32" s="716">
        <f>+A2.1.2!P32/A2.1.2!P$29</f>
        <v>8.4812432749528585E-2</v>
      </c>
    </row>
    <row r="33" spans="2:16" customFormat="1" ht="13.35" customHeight="1" x14ac:dyDescent="0.2">
      <c r="B33" s="631"/>
      <c r="C33" s="16"/>
      <c r="D33" s="338" t="s">
        <v>399</v>
      </c>
      <c r="E33" s="715">
        <f>+A2.1.2!E33/A2.1.2!E$29</f>
        <v>0.49561133522141937</v>
      </c>
      <c r="F33" s="715">
        <f>+A2.1.2!F33/A2.1.2!F$29</f>
        <v>0.57085198331169673</v>
      </c>
      <c r="G33" s="716">
        <f>+A2.1.2!G33/A2.1.2!G$29</f>
        <v>0.57178509720960102</v>
      </c>
      <c r="H33" s="715">
        <f>+A2.1.2!H33/A2.1.2!H$29</f>
        <v>0.49795683664969997</v>
      </c>
      <c r="I33" s="715">
        <f>+A2.1.2!I33/A2.1.2!I$29</f>
        <v>0.58300212520841865</v>
      </c>
      <c r="J33" s="716">
        <f>+A2.1.2!J33/A2.1.2!J$29</f>
        <v>0.58302603321921498</v>
      </c>
      <c r="K33" s="715">
        <f>+A2.1.2!K33/A2.1.2!K$29</f>
        <v>0.52310976735598225</v>
      </c>
      <c r="L33" s="715">
        <f>+A2.1.2!L33/A2.1.2!L$29</f>
        <v>0.57806237364420676</v>
      </c>
      <c r="M33" s="716">
        <f>+A2.1.2!M33/A2.1.2!M$29</f>
        <v>0.5832839000811888</v>
      </c>
      <c r="N33" s="715">
        <f>+A2.1.2!N33/A2.1.2!N$29</f>
        <v>0.54605598402727218</v>
      </c>
      <c r="O33" s="715">
        <f>+A2.1.2!O33/A2.1.2!O$29</f>
        <v>0.56795118048673199</v>
      </c>
      <c r="P33" s="716">
        <f>+A2.1.2!P33/A2.1.2!P$29</f>
        <v>0.57418383683406549</v>
      </c>
    </row>
    <row r="34" spans="2:16" customFormat="1" ht="13.35" customHeight="1" x14ac:dyDescent="0.2">
      <c r="B34" s="632"/>
      <c r="C34" s="280"/>
      <c r="D34" s="714" t="s">
        <v>401</v>
      </c>
      <c r="E34" s="717">
        <f>+A2.1.2!E34/A2.1.2!E$29</f>
        <v>6.3090464529000204E-2</v>
      </c>
      <c r="F34" s="717">
        <f>+A2.1.2!F34/A2.1.2!F$29</f>
        <v>0.31478825264779597</v>
      </c>
      <c r="G34" s="718">
        <f>+A2.1.2!G34/A2.1.2!G$29</f>
        <v>0.3105853867901211</v>
      </c>
      <c r="H34" s="717">
        <f>+A2.1.2!H34/A2.1.2!H$29</f>
        <v>6.3274483670888157E-2</v>
      </c>
      <c r="I34" s="717">
        <f>+A2.1.2!I34/A2.1.2!I$29</f>
        <v>0.30403648221829332</v>
      </c>
      <c r="J34" s="718">
        <f>+A2.1.2!J34/A2.1.2!J$29</f>
        <v>0.30125618959622708</v>
      </c>
      <c r="K34" s="717">
        <f>+A2.1.2!K34/A2.1.2!K$29</f>
        <v>7.2696831917774499E-2</v>
      </c>
      <c r="L34" s="717">
        <f>+A2.1.2!L34/A2.1.2!L$29</f>
        <v>0.3264480105073867</v>
      </c>
      <c r="M34" s="718">
        <f>+A2.1.2!M34/A2.1.2!M$29</f>
        <v>0.31851412396765866</v>
      </c>
      <c r="N34" s="717">
        <f>+A2.1.2!N34/A2.1.2!N$29</f>
        <v>8.3591561579239054E-2</v>
      </c>
      <c r="O34" s="717">
        <f>+A2.1.2!O34/A2.1.2!O$29</f>
        <v>0.34866764824039459</v>
      </c>
      <c r="P34" s="718">
        <f>+A2.1.2!P34/A2.1.2!P$29</f>
        <v>0.34015346140960773</v>
      </c>
    </row>
    <row r="35" spans="2:16" s="1" customFormat="1" ht="13.35" customHeight="1" x14ac:dyDescent="0.2">
      <c r="B35" s="632"/>
      <c r="C35" s="635" t="s">
        <v>8</v>
      </c>
      <c r="D35" s="636"/>
      <c r="E35" s="719">
        <f>A2.1.1!E35/A2.1.1!E$29</f>
        <v>1</v>
      </c>
      <c r="F35" s="719">
        <f>A2.1.1!F35/A2.1.1!F$29</f>
        <v>1</v>
      </c>
      <c r="G35" s="720">
        <f>A2.1.1!G35/A2.1.1!G$29</f>
        <v>1</v>
      </c>
      <c r="H35" s="719">
        <f>A2.1.1!H35/A2.1.1!H$29</f>
        <v>1</v>
      </c>
      <c r="I35" s="719">
        <f>A2.1.1!I35/A2.1.1!I$29</f>
        <v>1</v>
      </c>
      <c r="J35" s="720">
        <f>A2.1.1!J35/A2.1.1!J$29</f>
        <v>1</v>
      </c>
      <c r="K35" s="719">
        <f>A2.1.1!K35/A2.1.1!K$29</f>
        <v>1</v>
      </c>
      <c r="L35" s="719">
        <f>A2.1.1!L35/A2.1.1!L$29</f>
        <v>1</v>
      </c>
      <c r="M35" s="720">
        <f>A2.1.1!M35/A2.1.1!M$29</f>
        <v>1</v>
      </c>
      <c r="N35" s="719">
        <f>A2.1.1!N35/A2.1.1!N$29</f>
        <v>1</v>
      </c>
      <c r="O35" s="719">
        <f>A2.1.1!O35/A2.1.1!O$29</f>
        <v>1</v>
      </c>
      <c r="P35" s="720">
        <f>A2.1.1!P35/A2.1.1!P$29</f>
        <v>1</v>
      </c>
    </row>
    <row r="36" spans="2:16" customFormat="1" ht="13.35" customHeight="1" x14ac:dyDescent="0.2">
      <c r="B36" s="1"/>
      <c r="C36" s="1"/>
      <c r="D36" s="1"/>
      <c r="E36" s="1"/>
      <c r="F36" s="1"/>
      <c r="G36" s="1"/>
      <c r="H36" s="1"/>
      <c r="I36" s="1"/>
      <c r="J36" s="1"/>
      <c r="K36" s="1"/>
      <c r="L36" s="1"/>
      <c r="M36" s="1"/>
      <c r="N36" s="1"/>
      <c r="O36" s="1"/>
      <c r="P36" s="1"/>
    </row>
    <row r="37" spans="2:16" customFormat="1" ht="13.35" customHeight="1" x14ac:dyDescent="0.2">
      <c r="I37" s="352" t="s">
        <v>371</v>
      </c>
    </row>
    <row r="38" spans="2:16" customFormat="1" ht="13.35" customHeight="1" x14ac:dyDescent="0.2">
      <c r="I38" s="352"/>
    </row>
    <row r="39" spans="2:16" customFormat="1" ht="13.35" customHeight="1" x14ac:dyDescent="0.2">
      <c r="I39" s="352"/>
    </row>
    <row r="40" spans="2:16" customFormat="1" ht="13.35" customHeight="1" x14ac:dyDescent="0.2">
      <c r="I40" s="1"/>
    </row>
    <row r="41" spans="2:16" customFormat="1" ht="13.35" hidden="1" customHeight="1" x14ac:dyDescent="0.2">
      <c r="I41" s="1"/>
      <c r="K41" s="399">
        <f>K20+K21</f>
        <v>0.31613756308468732</v>
      </c>
      <c r="L41" s="400"/>
      <c r="M41" s="401"/>
    </row>
    <row r="42" spans="2:16" customFormat="1" ht="13.35" hidden="1" customHeight="1" x14ac:dyDescent="0.2">
      <c r="I42" s="1"/>
      <c r="K42" s="402">
        <f>SUM(K10:K21)</f>
        <v>0.66672878969719351</v>
      </c>
      <c r="L42" s="403">
        <f>SUM(L10:L21)</f>
        <v>0.48187869188653931</v>
      </c>
      <c r="M42" s="404">
        <f>SUM(M10:M21)</f>
        <v>0.48608289150303907</v>
      </c>
    </row>
    <row r="43" spans="2:16" customFormat="1" ht="13.35" hidden="1" customHeight="1" x14ac:dyDescent="0.2">
      <c r="I43" s="1"/>
      <c r="K43" s="402">
        <f>SUM(K4:K9)</f>
        <v>0.14998615214180208</v>
      </c>
      <c r="L43" s="403">
        <f>SUM(L4:L9)</f>
        <v>-8.9484814827719E-3</v>
      </c>
      <c r="M43" s="404">
        <f>SUM(M4:M9)</f>
        <v>-5.7249693348321957E-3</v>
      </c>
    </row>
    <row r="44" spans="2:16" customFormat="1" ht="13.35" hidden="1" customHeight="1" x14ac:dyDescent="0.2">
      <c r="I44" s="1"/>
      <c r="K44" s="405">
        <f>SUM(K22:K28)</f>
        <v>0.18328505816100443</v>
      </c>
      <c r="L44" s="406">
        <f>SUM(L22:L28)</f>
        <v>0.52706978959623252</v>
      </c>
      <c r="M44" s="407">
        <f>SUM(M22:M28)</f>
        <v>0.51964207783179306</v>
      </c>
    </row>
    <row r="45" spans="2:16" customFormat="1" ht="13.35" customHeight="1" x14ac:dyDescent="0.2">
      <c r="I45" s="1"/>
    </row>
    <row r="46" spans="2:16" customFormat="1" ht="13.35" customHeight="1" x14ac:dyDescent="0.2">
      <c r="I46" s="1"/>
    </row>
  </sheetData>
  <mergeCells count="1">
    <mergeCell ref="C3:D3"/>
  </mergeCells>
  <hyperlinks>
    <hyperlink ref="I37" location="CONTENTS!A1" display="BACK TO CONTENTS"/>
  </hyperlinks>
  <pageMargins left="0.98425196850393704" right="0.98425196850393704" top="0.98425196850393704" bottom="0.98425196850393704" header="0.51181102362204722" footer="0.51181102362204722"/>
  <pageSetup paperSize="9" scale="9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tint="0.79998168889431442"/>
    <pageSetUpPr fitToPage="1"/>
  </sheetPr>
  <dimension ref="B1:S45"/>
  <sheetViews>
    <sheetView showGridLines="0" zoomScaleNormal="100" zoomScaleSheetLayoutView="90" workbookViewId="0"/>
  </sheetViews>
  <sheetFormatPr defaultColWidth="9.140625" defaultRowHeight="12.75" x14ac:dyDescent="0.2"/>
  <cols>
    <col min="1" max="1" width="3.7109375" style="10" customWidth="1"/>
    <col min="2" max="2" width="1.7109375" customWidth="1"/>
    <col min="3" max="3" width="2.7109375" style="2" customWidth="1"/>
    <col min="4" max="4" width="15.7109375" style="2" customWidth="1"/>
    <col min="5" max="7" width="9.28515625" style="2" customWidth="1"/>
    <col min="8" max="8" width="9.28515625" style="14" customWidth="1"/>
    <col min="9" max="16" width="9.28515625" style="6" customWidth="1"/>
    <col min="17" max="17" width="9.7109375" style="6" customWidth="1"/>
    <col min="18" max="18" width="9.140625" style="6"/>
    <col min="19" max="19" width="9.140625" style="6" hidden="1" customWidth="1"/>
    <col min="20" max="16384" width="9.140625" style="10"/>
  </cols>
  <sheetData>
    <row r="1" spans="2:19" s="8" customFormat="1" ht="15" customHeight="1" x14ac:dyDescent="0.2">
      <c r="B1" s="439" t="s">
        <v>388</v>
      </c>
      <c r="C1" s="311"/>
      <c r="D1" s="311"/>
      <c r="E1" s="355"/>
      <c r="F1" s="355"/>
      <c r="G1" s="355"/>
      <c r="H1" s="61"/>
      <c r="I1" s="4"/>
      <c r="J1" s="5"/>
      <c r="K1" s="4"/>
      <c r="L1" s="4"/>
      <c r="M1" s="4"/>
      <c r="N1" s="4"/>
      <c r="O1" s="4"/>
      <c r="P1" s="4"/>
      <c r="Q1" s="4"/>
      <c r="R1" s="4"/>
      <c r="S1" s="4"/>
    </row>
    <row r="2" spans="2:19" s="8" customFormat="1" ht="15" customHeight="1" x14ac:dyDescent="0.2">
      <c r="B2" s="463"/>
      <c r="C2" s="464" t="s">
        <v>168</v>
      </c>
      <c r="D2" s="526"/>
      <c r="E2" s="466" t="s">
        <v>576</v>
      </c>
      <c r="F2" s="467"/>
      <c r="G2" s="468"/>
      <c r="H2" s="469" t="s">
        <v>577</v>
      </c>
      <c r="I2" s="467"/>
      <c r="J2" s="468"/>
      <c r="K2" s="469" t="s">
        <v>578</v>
      </c>
      <c r="L2" s="467"/>
      <c r="M2" s="468"/>
      <c r="N2" s="1033" t="s">
        <v>579</v>
      </c>
      <c r="O2" s="1019"/>
      <c r="P2" s="1020"/>
      <c r="Q2" s="78"/>
      <c r="R2" s="4"/>
      <c r="S2" s="4"/>
    </row>
    <row r="3" spans="2:19" ht="38.1" customHeight="1" x14ac:dyDescent="0.2">
      <c r="B3" s="470"/>
      <c r="C3" s="1028" t="s">
        <v>158</v>
      </c>
      <c r="D3" s="1030"/>
      <c r="E3" s="506" t="s">
        <v>17</v>
      </c>
      <c r="F3" s="506" t="s">
        <v>67</v>
      </c>
      <c r="G3" s="507" t="s">
        <v>68</v>
      </c>
      <c r="H3" s="506" t="s">
        <v>17</v>
      </c>
      <c r="I3" s="506" t="s">
        <v>67</v>
      </c>
      <c r="J3" s="507" t="s">
        <v>68</v>
      </c>
      <c r="K3" s="506" t="s">
        <v>17</v>
      </c>
      <c r="L3" s="506" t="s">
        <v>67</v>
      </c>
      <c r="M3" s="507" t="s">
        <v>68</v>
      </c>
      <c r="N3" s="506" t="s">
        <v>17</v>
      </c>
      <c r="O3" s="506" t="s">
        <v>67</v>
      </c>
      <c r="P3" s="507" t="s">
        <v>68</v>
      </c>
      <c r="Q3" s="79"/>
    </row>
    <row r="4" spans="2:19" ht="13.35" customHeight="1" x14ac:dyDescent="0.2">
      <c r="B4" s="145"/>
      <c r="C4" s="16" t="s">
        <v>9</v>
      </c>
      <c r="D4" s="338"/>
      <c r="E4" s="708">
        <v>369116</v>
      </c>
      <c r="F4" s="708">
        <v>51676.298362000001</v>
      </c>
      <c r="G4" s="709">
        <v>9067.0822069999995</v>
      </c>
      <c r="H4" s="708">
        <v>394227</v>
      </c>
      <c r="I4" s="708">
        <v>56888.540739999997</v>
      </c>
      <c r="J4" s="709">
        <v>9511.0881590000008</v>
      </c>
      <c r="K4" s="708">
        <v>408733</v>
      </c>
      <c r="L4" s="708">
        <v>62893.637603000003</v>
      </c>
      <c r="M4" s="709">
        <v>10537.161603</v>
      </c>
      <c r="N4" s="708">
        <v>394696</v>
      </c>
      <c r="O4" s="708">
        <v>65974.609135000006</v>
      </c>
      <c r="P4" s="709">
        <v>11104.277468</v>
      </c>
      <c r="Q4" s="15"/>
    </row>
    <row r="5" spans="2:19" ht="13.35" customHeight="1" x14ac:dyDescent="0.2">
      <c r="B5" s="145"/>
      <c r="C5" s="16" t="s">
        <v>10</v>
      </c>
      <c r="D5" s="338"/>
      <c r="E5" s="708">
        <v>208742</v>
      </c>
      <c r="F5" s="708">
        <v>27131.819119</v>
      </c>
      <c r="G5" s="709">
        <v>5261.5198979999996</v>
      </c>
      <c r="H5" s="708">
        <v>220261</v>
      </c>
      <c r="I5" s="708">
        <v>29445.173279999999</v>
      </c>
      <c r="J5" s="709">
        <v>5383.5396909999999</v>
      </c>
      <c r="K5" s="708">
        <v>227721</v>
      </c>
      <c r="L5" s="708">
        <v>33029.823066999998</v>
      </c>
      <c r="M5" s="709">
        <v>6115.9024879999997</v>
      </c>
      <c r="N5" s="708">
        <v>228789</v>
      </c>
      <c r="O5" s="708">
        <v>36029.670620999997</v>
      </c>
      <c r="P5" s="709">
        <v>6585.4095960000004</v>
      </c>
      <c r="Q5" s="15"/>
    </row>
    <row r="6" spans="2:19" ht="13.35" customHeight="1" x14ac:dyDescent="0.2">
      <c r="B6" s="145"/>
      <c r="C6" s="16" t="s">
        <v>11</v>
      </c>
      <c r="D6" s="338"/>
      <c r="E6" s="708">
        <f t="shared" ref="E6:P6" si="0">E37</f>
        <v>1908930</v>
      </c>
      <c r="F6" s="708">
        <f t="shared" si="0"/>
        <v>393110.13981100003</v>
      </c>
      <c r="G6" s="709">
        <f t="shared" si="0"/>
        <v>89662.652931000033</v>
      </c>
      <c r="H6" s="708">
        <f t="shared" si="0"/>
        <v>2012168</v>
      </c>
      <c r="I6" s="708">
        <f t="shared" si="0"/>
        <v>408873.95429000002</v>
      </c>
      <c r="J6" s="709">
        <f t="shared" si="0"/>
        <v>89221.122757000005</v>
      </c>
      <c r="K6" s="708">
        <f t="shared" si="0"/>
        <v>2085349</v>
      </c>
      <c r="L6" s="708">
        <f t="shared" si="0"/>
        <v>451415.99417299998</v>
      </c>
      <c r="M6" s="709">
        <f t="shared" si="0"/>
        <v>98594.739469999971</v>
      </c>
      <c r="N6" s="708">
        <f t="shared" si="0"/>
        <v>2049928</v>
      </c>
      <c r="O6" s="708">
        <f t="shared" si="0"/>
        <v>475809.18180299993</v>
      </c>
      <c r="P6" s="709">
        <f t="shared" si="0"/>
        <v>104165.86108400003</v>
      </c>
      <c r="Q6" s="15"/>
    </row>
    <row r="7" spans="2:19" ht="13.35" customHeight="1" x14ac:dyDescent="0.2">
      <c r="B7" s="145"/>
      <c r="C7" s="16" t="s">
        <v>69</v>
      </c>
      <c r="D7" s="338"/>
      <c r="E7" s="708">
        <v>722975</v>
      </c>
      <c r="F7" s="708">
        <v>113307.069997</v>
      </c>
      <c r="G7" s="709">
        <v>21989.837864000001</v>
      </c>
      <c r="H7" s="708">
        <v>765617</v>
      </c>
      <c r="I7" s="708">
        <v>121524.998187</v>
      </c>
      <c r="J7" s="709">
        <v>22438.456122</v>
      </c>
      <c r="K7" s="708">
        <v>779576</v>
      </c>
      <c r="L7" s="708">
        <v>133396.49533800001</v>
      </c>
      <c r="M7" s="709">
        <v>24712.839413999998</v>
      </c>
      <c r="N7" s="708">
        <v>766075</v>
      </c>
      <c r="O7" s="708">
        <v>142580.87729999999</v>
      </c>
      <c r="P7" s="709">
        <v>26533.155207</v>
      </c>
      <c r="Q7" s="15"/>
    </row>
    <row r="8" spans="2:19" ht="13.35" customHeight="1" x14ac:dyDescent="0.2">
      <c r="B8" s="145"/>
      <c r="C8" s="16" t="s">
        <v>12</v>
      </c>
      <c r="D8" s="338"/>
      <c r="E8" s="708">
        <v>193776</v>
      </c>
      <c r="F8" s="708">
        <v>28227.420403</v>
      </c>
      <c r="G8" s="709">
        <v>5037.9012210000001</v>
      </c>
      <c r="H8" s="708">
        <v>215881</v>
      </c>
      <c r="I8" s="708">
        <v>33083.733474000001</v>
      </c>
      <c r="J8" s="709">
        <v>5631.4867519999998</v>
      </c>
      <c r="K8" s="708">
        <v>231873</v>
      </c>
      <c r="L8" s="708">
        <v>38431.105694999998</v>
      </c>
      <c r="M8" s="709">
        <v>6531.9404480000003</v>
      </c>
      <c r="N8" s="708">
        <v>238248</v>
      </c>
      <c r="O8" s="708">
        <v>42429.937915000002</v>
      </c>
      <c r="P8" s="709">
        <v>7194.671128</v>
      </c>
      <c r="Q8" s="15"/>
    </row>
    <row r="9" spans="2:19" ht="13.35" customHeight="1" x14ac:dyDescent="0.2">
      <c r="B9" s="145"/>
      <c r="C9" s="16" t="s">
        <v>13</v>
      </c>
      <c r="D9" s="338"/>
      <c r="E9" s="708">
        <v>242176</v>
      </c>
      <c r="F9" s="708">
        <v>40752.657561</v>
      </c>
      <c r="G9" s="709">
        <v>8383.6865130000006</v>
      </c>
      <c r="H9" s="708">
        <v>267541</v>
      </c>
      <c r="I9" s="708">
        <v>44942.291785000001</v>
      </c>
      <c r="J9" s="709">
        <v>8779.5994300000002</v>
      </c>
      <c r="K9" s="708">
        <v>297796</v>
      </c>
      <c r="L9" s="708">
        <v>51983.364019000001</v>
      </c>
      <c r="M9" s="709">
        <v>10074.218226000001</v>
      </c>
      <c r="N9" s="708">
        <v>300217</v>
      </c>
      <c r="O9" s="708">
        <v>55488.398907000003</v>
      </c>
      <c r="P9" s="709">
        <v>11082.636293</v>
      </c>
      <c r="Q9" s="15"/>
    </row>
    <row r="10" spans="2:19" s="1" customFormat="1" ht="13.35" customHeight="1" x14ac:dyDescent="0.2">
      <c r="B10" s="631"/>
      <c r="C10" s="16" t="s">
        <v>14</v>
      </c>
      <c r="D10" s="338"/>
      <c r="E10" s="708">
        <v>202080</v>
      </c>
      <c r="F10" s="708">
        <v>29546.105202999999</v>
      </c>
      <c r="G10" s="709">
        <v>5726.2886900000003</v>
      </c>
      <c r="H10" s="708">
        <v>223561</v>
      </c>
      <c r="I10" s="708">
        <v>32254.155654999999</v>
      </c>
      <c r="J10" s="709">
        <v>5823.0294949999998</v>
      </c>
      <c r="K10" s="708">
        <v>246204</v>
      </c>
      <c r="L10" s="708">
        <v>37490.536608000002</v>
      </c>
      <c r="M10" s="709">
        <v>6777.1308170000002</v>
      </c>
      <c r="N10" s="708">
        <v>249159</v>
      </c>
      <c r="O10" s="708">
        <v>41217.420620999997</v>
      </c>
      <c r="P10" s="709">
        <v>7380.7485749999996</v>
      </c>
      <c r="Q10" s="15"/>
    </row>
    <row r="11" spans="2:19" s="50" customFormat="1" ht="13.35" customHeight="1" x14ac:dyDescent="0.2">
      <c r="B11" s="145"/>
      <c r="C11" s="16" t="s">
        <v>15</v>
      </c>
      <c r="D11" s="338"/>
      <c r="E11" s="708">
        <v>72295</v>
      </c>
      <c r="F11" s="708">
        <v>9470.9851870000002</v>
      </c>
      <c r="G11" s="709">
        <v>1809.807998</v>
      </c>
      <c r="H11" s="708">
        <v>79569</v>
      </c>
      <c r="I11" s="708">
        <v>10455.892454999999</v>
      </c>
      <c r="J11" s="709">
        <v>1841.492508</v>
      </c>
      <c r="K11" s="708">
        <v>86188</v>
      </c>
      <c r="L11" s="708">
        <v>12321.616972</v>
      </c>
      <c r="M11" s="709">
        <v>2200.5047490000002</v>
      </c>
      <c r="N11" s="708">
        <v>87908</v>
      </c>
      <c r="O11" s="708">
        <v>15262.914525</v>
      </c>
      <c r="P11" s="709">
        <v>2998.6416429999999</v>
      </c>
      <c r="Q11" s="15"/>
      <c r="R11" s="6"/>
      <c r="S11" s="6"/>
    </row>
    <row r="12" spans="2:19" s="1" customFormat="1" ht="13.35" customHeight="1" x14ac:dyDescent="0.2">
      <c r="B12" s="632"/>
      <c r="C12" s="280" t="s">
        <v>16</v>
      </c>
      <c r="D12" s="434"/>
      <c r="E12" s="710">
        <v>792619</v>
      </c>
      <c r="F12" s="710">
        <v>125287.372844</v>
      </c>
      <c r="G12" s="711">
        <v>25702.234933</v>
      </c>
      <c r="H12" s="710">
        <v>822733</v>
      </c>
      <c r="I12" s="710">
        <v>129877.733465</v>
      </c>
      <c r="J12" s="711">
        <v>25495.628882000001</v>
      </c>
      <c r="K12" s="710">
        <v>835920</v>
      </c>
      <c r="L12" s="710">
        <v>141820.014005</v>
      </c>
      <c r="M12" s="711">
        <v>27958.389805999999</v>
      </c>
      <c r="N12" s="710">
        <v>793187</v>
      </c>
      <c r="O12" s="710">
        <v>149142.72695000001</v>
      </c>
      <c r="P12" s="711">
        <v>29622.948621</v>
      </c>
      <c r="Q12" s="15"/>
    </row>
    <row r="13" spans="2:19" s="1" customFormat="1" ht="13.35" customHeight="1" x14ac:dyDescent="0.2">
      <c r="B13" s="632"/>
      <c r="C13" s="635" t="s">
        <v>8</v>
      </c>
      <c r="D13" s="636"/>
      <c r="E13" s="712">
        <f t="shared" ref="E13:N13" si="1">SUM(E4:E12)</f>
        <v>4712709</v>
      </c>
      <c r="F13" s="712">
        <f t="shared" si="1"/>
        <v>818509.868487</v>
      </c>
      <c r="G13" s="713">
        <f t="shared" si="1"/>
        <v>172641.01225500001</v>
      </c>
      <c r="H13" s="712">
        <f t="shared" si="1"/>
        <v>5001558</v>
      </c>
      <c r="I13" s="712">
        <f t="shared" si="1"/>
        <v>867346.47333099996</v>
      </c>
      <c r="J13" s="713">
        <f t="shared" si="1"/>
        <v>174125.44379600001</v>
      </c>
      <c r="K13" s="712">
        <f t="shared" si="1"/>
        <v>5199360</v>
      </c>
      <c r="L13" s="712">
        <f>SUM(L4:L12)</f>
        <v>962782.5874800001</v>
      </c>
      <c r="M13" s="713">
        <f>SUM(M4:M12)</f>
        <v>193502.82702099998</v>
      </c>
      <c r="N13" s="712">
        <f t="shared" si="1"/>
        <v>5108207</v>
      </c>
      <c r="O13" s="712">
        <f>SUM(O4:O12)</f>
        <v>1023935.7377770001</v>
      </c>
      <c r="P13" s="713">
        <f>SUM(P4:P12)</f>
        <v>206668.34961500001</v>
      </c>
      <c r="Q13" s="80"/>
    </row>
    <row r="14" spans="2:19" s="1" customFormat="1" ht="13.35" customHeight="1" x14ac:dyDescent="0.2">
      <c r="B14" s="631"/>
      <c r="C14" s="721" t="s">
        <v>87</v>
      </c>
      <c r="D14" s="72"/>
      <c r="E14" s="722"/>
      <c r="F14" s="722"/>
      <c r="G14" s="723"/>
      <c r="H14" s="722"/>
      <c r="I14" s="722"/>
      <c r="J14" s="723"/>
      <c r="K14" s="722"/>
      <c r="L14" s="722"/>
      <c r="M14" s="723"/>
      <c r="N14" s="722"/>
      <c r="O14" s="722"/>
      <c r="P14" s="723"/>
      <c r="Q14" s="80"/>
    </row>
    <row r="15" spans="2:19" customFormat="1" ht="13.35" customHeight="1" x14ac:dyDescent="0.2">
      <c r="B15" s="145"/>
      <c r="C15" s="16" t="s">
        <v>9</v>
      </c>
      <c r="D15" s="338"/>
      <c r="E15" s="715">
        <f>A2.1.3!E4/A2.1.3!E$13</f>
        <v>7.8323528993621286E-2</v>
      </c>
      <c r="F15" s="715">
        <f>A2.1.3!F4/A2.1.3!F$13</f>
        <v>6.313460637624646E-2</v>
      </c>
      <c r="G15" s="716">
        <f>A2.1.3!G4/A2.1.3!G$13</f>
        <v>5.2519862392879361E-2</v>
      </c>
      <c r="H15" s="715">
        <f>A2.1.3!H4/A2.1.3!H$13</f>
        <v>7.8820839426434725E-2</v>
      </c>
      <c r="I15" s="715">
        <f>A2.1.3!I4/A2.1.3!I$13</f>
        <v>6.5589176285599515E-2</v>
      </c>
      <c r="J15" s="716">
        <f>A2.1.3!J4/A2.1.3!J$13</f>
        <v>5.4622046908566091E-2</v>
      </c>
      <c r="K15" s="715">
        <f>A2.1.3!K4/A2.1.3!K$13</f>
        <v>7.8612175344657809E-2</v>
      </c>
      <c r="L15" s="715">
        <f>A2.1.3!L4/A2.1.3!L$13</f>
        <v>6.5324859860229345E-2</v>
      </c>
      <c r="M15" s="716">
        <f>A2.1.3!M4/A2.1.3!M$13</f>
        <v>5.4454819938400435E-2</v>
      </c>
      <c r="N15" s="715">
        <f>A2.1.3!N4/A2.1.3!N$13</f>
        <v>7.7267033227118628E-2</v>
      </c>
      <c r="O15" s="715">
        <f>A2.1.3!O4/A2.1.3!O$13</f>
        <v>6.4432372756353995E-2</v>
      </c>
      <c r="P15" s="716">
        <f>A2.1.3!P4/A2.1.3!P$13</f>
        <v>5.3729937306249483E-2</v>
      </c>
      <c r="Q15" s="56"/>
    </row>
    <row r="16" spans="2:19" customFormat="1" ht="13.35" customHeight="1" x14ac:dyDescent="0.2">
      <c r="B16" s="145"/>
      <c r="C16" s="16" t="s">
        <v>10</v>
      </c>
      <c r="D16" s="339"/>
      <c r="E16" s="715">
        <f>A2.1.3!E5/A2.1.3!E$13</f>
        <v>4.429342019632445E-2</v>
      </c>
      <c r="F16" s="715">
        <f>A2.1.3!F5/A2.1.3!F$13</f>
        <v>3.3147821625110832E-2</v>
      </c>
      <c r="G16" s="716">
        <f>A2.1.3!G5/A2.1.3!G$13</f>
        <v>3.047665111131562E-2</v>
      </c>
      <c r="H16" s="715">
        <f>A2.1.3!H5/A2.1.3!H$13</f>
        <v>4.403847761037661E-2</v>
      </c>
      <c r="I16" s="715">
        <f>A2.1.3!I5/A2.1.3!I$13</f>
        <v>3.3948570940649944E-2</v>
      </c>
      <c r="J16" s="716">
        <f>A2.1.3!J5/A2.1.3!J$13</f>
        <v>3.0917593509810024E-2</v>
      </c>
      <c r="K16" s="715">
        <f>A2.1.3!K5/A2.1.3!K$13</f>
        <v>4.379789050960118E-2</v>
      </c>
      <c r="L16" s="715">
        <f>A2.1.3!L5/A2.1.3!L$13</f>
        <v>3.4306626954536741E-2</v>
      </c>
      <c r="M16" s="716">
        <f>A2.1.3!M5/A2.1.3!M$13</f>
        <v>3.1606269438824629E-2</v>
      </c>
      <c r="N16" s="715">
        <f>A2.1.3!N5/A2.1.3!N$13</f>
        <v>4.4788513856231747E-2</v>
      </c>
      <c r="O16" s="715">
        <f>A2.1.3!O5/A2.1.3!O$13</f>
        <v>3.5187433441107994E-2</v>
      </c>
      <c r="P16" s="716">
        <f>A2.1.3!P5/A2.1.3!P$13</f>
        <v>3.1864625658780753E-2</v>
      </c>
      <c r="Q16" s="56"/>
    </row>
    <row r="17" spans="2:19" customFormat="1" ht="13.35" customHeight="1" x14ac:dyDescent="0.2">
      <c r="B17" s="145"/>
      <c r="C17" s="16" t="s">
        <v>11</v>
      </c>
      <c r="D17" s="338"/>
      <c r="E17" s="715">
        <f>A2.1.3!E6/A2.1.3!E$13</f>
        <v>0.40506001961928906</v>
      </c>
      <c r="F17" s="715">
        <f>A2.1.3!F6/A2.1.3!F$13</f>
        <v>0.48027538206430753</v>
      </c>
      <c r="G17" s="716">
        <f>A2.1.3!G6/A2.1.3!G$13</f>
        <v>0.51935893887463713</v>
      </c>
      <c r="H17" s="715">
        <f>A2.1.3!H6/A2.1.3!H$13</f>
        <v>0.40230824075218163</v>
      </c>
      <c r="I17" s="715">
        <f>A2.1.3!I6/A2.1.3!I$13</f>
        <v>0.47140787085896646</v>
      </c>
      <c r="J17" s="716">
        <f>A2.1.3!J6/A2.1.3!J$13</f>
        <v>0.51239566608960785</v>
      </c>
      <c r="K17" s="715">
        <f>A2.1.3!K6/A2.1.3!K$13</f>
        <v>0.40107801729443626</v>
      </c>
      <c r="L17" s="715">
        <f>A2.1.3!L6/A2.1.3!L$13</f>
        <v>0.46886597248766432</v>
      </c>
      <c r="M17" s="716">
        <f>A2.1.3!M6/A2.1.3!M$13</f>
        <v>0.50952609317330511</v>
      </c>
      <c r="N17" s="715">
        <f>A2.1.3!N6/A2.1.3!N$13</f>
        <v>0.40130088698441546</v>
      </c>
      <c r="O17" s="715">
        <f>A2.1.3!O6/A2.1.3!O$13</f>
        <v>0.46468656601047847</v>
      </c>
      <c r="P17" s="716">
        <f>A2.1.3!P6/A2.1.3!P$13</f>
        <v>0.50402425566396292</v>
      </c>
      <c r="Q17" s="56"/>
      <c r="S17" s="83">
        <f>AVERAGE(E17,H17,K17,N17)</f>
        <v>0.40243679116258063</v>
      </c>
    </row>
    <row r="18" spans="2:19" customFormat="1" ht="13.35" customHeight="1" x14ac:dyDescent="0.2">
      <c r="B18" s="145"/>
      <c r="C18" s="16" t="s">
        <v>69</v>
      </c>
      <c r="D18" s="338"/>
      <c r="E18" s="715">
        <f>A2.1.3!E7/A2.1.3!E$13</f>
        <v>0.15340964188537845</v>
      </c>
      <c r="F18" s="715">
        <f>A2.1.3!F7/A2.1.3!F$13</f>
        <v>0.13843091495823498</v>
      </c>
      <c r="G18" s="716">
        <f>A2.1.3!G7/A2.1.3!G$13</f>
        <v>0.12737319815710901</v>
      </c>
      <c r="H18" s="715">
        <f>A2.1.3!H7/A2.1.3!H$13</f>
        <v>0.1530757016113779</v>
      </c>
      <c r="I18" s="715">
        <f>A2.1.3!I7/A2.1.3!I$13</f>
        <v>0.14011124956822554</v>
      </c>
      <c r="J18" s="716">
        <f>A2.1.3!J7/A2.1.3!J$13</f>
        <v>0.12886374117896407</v>
      </c>
      <c r="K18" s="715">
        <f>A2.1.3!K7/A2.1.3!K$13</f>
        <v>0.14993691531265388</v>
      </c>
      <c r="L18" s="715">
        <f>A2.1.3!L7/A2.1.3!L$13</f>
        <v>0.1385530825678451</v>
      </c>
      <c r="M18" s="716">
        <f>A2.1.3!M7/A2.1.3!M$13</f>
        <v>0.12771306649343178</v>
      </c>
      <c r="N18" s="715">
        <f>A2.1.3!N7/A2.1.3!N$13</f>
        <v>0.14996945112052038</v>
      </c>
      <c r="O18" s="715">
        <f>A2.1.3!O7/A2.1.3!O$13</f>
        <v>0.13924787663877033</v>
      </c>
      <c r="P18" s="716">
        <f>A2.1.3!P7/A2.1.3!P$13</f>
        <v>0.12838518939367491</v>
      </c>
      <c r="Q18" s="56"/>
    </row>
    <row r="19" spans="2:19" customFormat="1" ht="13.35" customHeight="1" x14ac:dyDescent="0.2">
      <c r="B19" s="145"/>
      <c r="C19" s="16" t="s">
        <v>12</v>
      </c>
      <c r="D19" s="338"/>
      <c r="E19" s="715">
        <f>A2.1.3!E8/A2.1.3!E$13</f>
        <v>4.1117752019061649E-2</v>
      </c>
      <c r="F19" s="715">
        <f>A2.1.3!F8/A2.1.3!F$13</f>
        <v>3.4486353176386077E-2</v>
      </c>
      <c r="G19" s="716">
        <f>A2.1.3!G8/A2.1.3!G$13</f>
        <v>2.9181369798496955E-2</v>
      </c>
      <c r="H19" s="715">
        <f>A2.1.3!H8/A2.1.3!H$13</f>
        <v>4.3162750486948266E-2</v>
      </c>
      <c r="I19" s="715">
        <f>A2.1.3!I8/A2.1.3!I$13</f>
        <v>3.8143619062568627E-2</v>
      </c>
      <c r="J19" s="716">
        <f>A2.1.3!J8/A2.1.3!J$13</f>
        <v>3.234155002986052E-2</v>
      </c>
      <c r="K19" s="715">
        <f>A2.1.3!K8/A2.1.3!K$13</f>
        <v>4.4596450332348596E-2</v>
      </c>
      <c r="L19" s="715">
        <f>A2.1.3!L8/A2.1.3!L$13</f>
        <v>3.9916702062082449E-2</v>
      </c>
      <c r="M19" s="716">
        <f>A2.1.3!M8/A2.1.3!M$13</f>
        <v>3.3756305003704773E-2</v>
      </c>
      <c r="N19" s="715">
        <f>A2.1.3!N8/A2.1.3!N$13</f>
        <v>4.6640239911969111E-2</v>
      </c>
      <c r="O19" s="715">
        <f>A2.1.3!O8/A2.1.3!O$13</f>
        <v>4.143808673688533E-2</v>
      </c>
      <c r="P19" s="716">
        <f>A2.1.3!P8/A2.1.3!P$13</f>
        <v>3.4812641323177289E-2</v>
      </c>
      <c r="Q19" s="56"/>
    </row>
    <row r="20" spans="2:19" customFormat="1" ht="13.35" customHeight="1" x14ac:dyDescent="0.2">
      <c r="B20" s="145"/>
      <c r="C20" s="16" t="s">
        <v>13</v>
      </c>
      <c r="D20" s="338"/>
      <c r="E20" s="715">
        <f>A2.1.3!E9/A2.1.3!E$13</f>
        <v>5.1387853567873593E-2</v>
      </c>
      <c r="F20" s="715">
        <f>A2.1.3!F9/A2.1.3!F$13</f>
        <v>4.9788840831364096E-2</v>
      </c>
      <c r="G20" s="716">
        <f>A2.1.3!G9/A2.1.3!G$13</f>
        <v>4.8561384131696625E-2</v>
      </c>
      <c r="H20" s="715">
        <f>A2.1.3!H9/A2.1.3!H$13</f>
        <v>5.3491532038616764E-2</v>
      </c>
      <c r="I20" s="715">
        <f>A2.1.3!I9/A2.1.3!I$13</f>
        <v>5.181584656982742E-2</v>
      </c>
      <c r="J20" s="716">
        <f>A2.1.3!J9/A2.1.3!J$13</f>
        <v>5.0421117319797946E-2</v>
      </c>
      <c r="K20" s="715">
        <f>A2.1.3!K9/A2.1.3!K$13</f>
        <v>5.727551083210241E-2</v>
      </c>
      <c r="L20" s="715">
        <f>A2.1.3!L9/A2.1.3!L$13</f>
        <v>5.399283773407447E-2</v>
      </c>
      <c r="M20" s="716">
        <f>A2.1.3!M9/A2.1.3!M$13</f>
        <v>5.2062382659177855E-2</v>
      </c>
      <c r="N20" s="715">
        <f>A2.1.3!N9/A2.1.3!N$13</f>
        <v>5.8771502407792012E-2</v>
      </c>
      <c r="O20" s="715">
        <f>A2.1.3!O9/A2.1.3!O$13</f>
        <v>5.4191290390417701E-2</v>
      </c>
      <c r="P20" s="716">
        <f>A2.1.3!P9/A2.1.3!P$13</f>
        <v>5.3625222796067754E-2</v>
      </c>
      <c r="Q20" s="56"/>
    </row>
    <row r="21" spans="2:19" customFormat="1" ht="13.35" customHeight="1" x14ac:dyDescent="0.2">
      <c r="B21" s="631"/>
      <c r="C21" s="16" t="s">
        <v>14</v>
      </c>
      <c r="D21" s="338"/>
      <c r="E21" s="715">
        <f>A2.1.3!E10/A2.1.3!E$13</f>
        <v>4.2879795888097483E-2</v>
      </c>
      <c r="F21" s="715">
        <f>A2.1.3!F10/A2.1.3!F$13</f>
        <v>3.6097433079964464E-2</v>
      </c>
      <c r="G21" s="716">
        <f>A2.1.3!G10/A2.1.3!G$13</f>
        <v>3.316876224950515E-2</v>
      </c>
      <c r="H21" s="715">
        <f>A2.1.3!H10/A2.1.3!H$13</f>
        <v>4.4698272018439053E-2</v>
      </c>
      <c r="I21" s="715">
        <f>A2.1.3!I10/A2.1.3!I$13</f>
        <v>3.7187164122694308E-2</v>
      </c>
      <c r="J21" s="716">
        <f>A2.1.3!J10/A2.1.3!J$13</f>
        <v>3.3441577336750863E-2</v>
      </c>
      <c r="K21" s="715">
        <f>A2.1.3!K10/A2.1.3!K$13</f>
        <v>4.7352751107828654E-2</v>
      </c>
      <c r="L21" s="715">
        <f>A2.1.3!L10/A2.1.3!L$13</f>
        <v>3.8939774249686247E-2</v>
      </c>
      <c r="M21" s="716">
        <f>A2.1.3!M10/A2.1.3!M$13</f>
        <v>3.5023420181166186E-2</v>
      </c>
      <c r="N21" s="715">
        <f>A2.1.3!N10/A2.1.3!N$13</f>
        <v>4.8776214432970318E-2</v>
      </c>
      <c r="O21" s="715">
        <f>A2.1.3!O10/A2.1.3!O$13</f>
        <v>4.0253913502896622E-2</v>
      </c>
      <c r="P21" s="716">
        <f>A2.1.3!P10/A2.1.3!P$13</f>
        <v>3.5713008734765184E-2</v>
      </c>
      <c r="Q21" s="56"/>
    </row>
    <row r="22" spans="2:19" s="1" customFormat="1" ht="13.35" customHeight="1" x14ac:dyDescent="0.2">
      <c r="B22" s="145"/>
      <c r="C22" s="16" t="s">
        <v>15</v>
      </c>
      <c r="D22" s="338"/>
      <c r="E22" s="715">
        <f>A2.1.3!E11/A2.1.3!E$13</f>
        <v>1.5340433708085945E-2</v>
      </c>
      <c r="F22" s="715">
        <f>A2.1.3!F11/A2.1.3!F$13</f>
        <v>1.1571009161449619E-2</v>
      </c>
      <c r="G22" s="716">
        <f>A2.1.3!G11/A2.1.3!G$13</f>
        <v>1.0483071052241149E-2</v>
      </c>
      <c r="H22" s="715">
        <f>A2.1.3!H11/A2.1.3!H$13</f>
        <v>1.5908842804582091E-2</v>
      </c>
      <c r="I22" s="715">
        <f>A2.1.3!I11/A2.1.3!I$13</f>
        <v>1.2055035417213004E-2</v>
      </c>
      <c r="J22" s="716">
        <f>A2.1.3!J11/A2.1.3!J$13</f>
        <v>1.0575665840986662E-2</v>
      </c>
      <c r="K22" s="715">
        <f>A2.1.3!K11/A2.1.3!K$13</f>
        <v>1.6576655588380108E-2</v>
      </c>
      <c r="L22" s="715">
        <f>A2.1.3!L11/A2.1.3!L$13</f>
        <v>1.2797922534360288E-2</v>
      </c>
      <c r="M22" s="716">
        <f>A2.1.3!M11/A2.1.3!M$13</f>
        <v>1.1371951422503969E-2</v>
      </c>
      <c r="N22" s="715">
        <f>A2.1.3!N11/A2.1.3!N$13</f>
        <v>1.7209169479623674E-2</v>
      </c>
      <c r="O22" s="715">
        <f>A2.1.3!O11/A2.1.3!O$13</f>
        <v>1.4906125415776888E-2</v>
      </c>
      <c r="P22" s="716">
        <f>A2.1.3!P11/A2.1.3!P$13</f>
        <v>1.4509438182412224E-2</v>
      </c>
      <c r="Q22" s="56"/>
    </row>
    <row r="23" spans="2:19" customFormat="1" ht="13.35" customHeight="1" x14ac:dyDescent="0.2">
      <c r="B23" s="632"/>
      <c r="C23" s="280" t="s">
        <v>16</v>
      </c>
      <c r="D23" s="434"/>
      <c r="E23" s="717">
        <f>A2.1.3!E12/A2.1.3!E$13</f>
        <v>0.1681875541222681</v>
      </c>
      <c r="F23" s="717">
        <f>A2.1.3!F12/A2.1.3!F$13</f>
        <v>0.15306763872693599</v>
      </c>
      <c r="G23" s="718">
        <f>A2.1.3!G12/A2.1.3!G$13</f>
        <v>0.14887676223211913</v>
      </c>
      <c r="H23" s="717">
        <f>A2.1.3!H12/A2.1.3!H$13</f>
        <v>0.16449534325104298</v>
      </c>
      <c r="I23" s="717">
        <f>A2.1.3!I12/A2.1.3!I$13</f>
        <v>0.14974146717425527</v>
      </c>
      <c r="J23" s="718">
        <f>A2.1.3!J12/A2.1.3!J$13</f>
        <v>0.14642104178565593</v>
      </c>
      <c r="K23" s="717">
        <f>A2.1.3!K12/A2.1.3!K$13</f>
        <v>0.16077363367799113</v>
      </c>
      <c r="L23" s="717">
        <f>A2.1.3!L12/A2.1.3!L$13</f>
        <v>0.14730222154952094</v>
      </c>
      <c r="M23" s="718">
        <f>A2.1.3!M12/A2.1.3!M$13</f>
        <v>0.14448569168948525</v>
      </c>
      <c r="N23" s="717">
        <f>A2.1.3!N12/A2.1.3!N$13</f>
        <v>0.15527698857935868</v>
      </c>
      <c r="O23" s="717">
        <f>A2.1.3!O12/A2.1.3!O$13</f>
        <v>0.14565633510731252</v>
      </c>
      <c r="P23" s="718">
        <f>A2.1.3!P12/A2.1.3!P$13</f>
        <v>0.14333568094090959</v>
      </c>
      <c r="Q23" s="56"/>
      <c r="S23" s="83">
        <f>AVERAGE(E23,H23,K23,N23)</f>
        <v>0.16218337990766524</v>
      </c>
    </row>
    <row r="24" spans="2:19" customFormat="1" ht="13.35" customHeight="1" x14ac:dyDescent="0.2">
      <c r="B24" s="632"/>
      <c r="C24" s="635" t="s">
        <v>8</v>
      </c>
      <c r="D24" s="636"/>
      <c r="E24" s="719">
        <f>A2.1.3!E13/A2.1.3!E$13</f>
        <v>1</v>
      </c>
      <c r="F24" s="719">
        <f>A2.1.3!F13/A2.1.3!F$13</f>
        <v>1</v>
      </c>
      <c r="G24" s="720">
        <f>A2.1.3!G13/A2.1.3!G$13</f>
        <v>1</v>
      </c>
      <c r="H24" s="719">
        <f>A2.1.3!H13/A2.1.3!H$13</f>
        <v>1</v>
      </c>
      <c r="I24" s="719">
        <f>A2.1.3!I13/A2.1.3!I$13</f>
        <v>1</v>
      </c>
      <c r="J24" s="720">
        <f>A2.1.3!J13/A2.1.3!J$13</f>
        <v>1</v>
      </c>
      <c r="K24" s="719">
        <f>A2.1.3!K13/A2.1.3!K$13</f>
        <v>1</v>
      </c>
      <c r="L24" s="719">
        <f>A2.1.3!L13/A2.1.3!L$13</f>
        <v>1</v>
      </c>
      <c r="M24" s="720">
        <f>A2.1.3!M13/A2.1.3!M$13</f>
        <v>1</v>
      </c>
      <c r="N24" s="719">
        <f>A2.1.3!N13/A2.1.3!N$13</f>
        <v>1</v>
      </c>
      <c r="O24" s="719">
        <f>A2.1.3!O13/A2.1.3!O$13</f>
        <v>1</v>
      </c>
      <c r="P24" s="720">
        <f>A2.1.3!P13/A2.1.3!P$13</f>
        <v>1</v>
      </c>
      <c r="Q24" s="81"/>
    </row>
    <row r="25" spans="2:19" customFormat="1" ht="12" customHeight="1" x14ac:dyDescent="0.2">
      <c r="B25" s="794" t="s">
        <v>493</v>
      </c>
      <c r="C25" s="1031" t="s">
        <v>494</v>
      </c>
      <c r="D25" s="1031"/>
      <c r="E25" s="1031"/>
      <c r="F25" s="1031"/>
      <c r="G25" s="1031"/>
      <c r="H25" s="1031"/>
      <c r="I25" s="1031"/>
      <c r="J25" s="1031"/>
      <c r="K25" s="1031"/>
      <c r="L25" s="1031"/>
      <c r="M25" s="1031"/>
      <c r="N25" s="1031"/>
      <c r="O25" s="1031"/>
      <c r="P25" s="1031"/>
      <c r="Q25" s="6"/>
    </row>
    <row r="26" spans="2:19" customFormat="1" ht="12" customHeight="1" x14ac:dyDescent="0.2">
      <c r="B26" s="1"/>
      <c r="C26" s="1032"/>
      <c r="D26" s="1032"/>
      <c r="E26" s="1032"/>
      <c r="F26" s="1032"/>
      <c r="G26" s="1032"/>
      <c r="H26" s="1032"/>
      <c r="I26" s="1032"/>
      <c r="J26" s="1032"/>
      <c r="K26" s="1032"/>
      <c r="L26" s="1032"/>
      <c r="M26" s="1032"/>
      <c r="N26" s="1032"/>
      <c r="O26" s="1032"/>
      <c r="P26" s="1032"/>
      <c r="Q26" s="6"/>
    </row>
    <row r="27" spans="2:19" s="1" customFormat="1" ht="12" customHeight="1" x14ac:dyDescent="0.2">
      <c r="C27" s="29"/>
    </row>
    <row r="28" spans="2:19" s="1" customFormat="1" ht="13.35" customHeight="1" x14ac:dyDescent="0.2">
      <c r="C28" s="29"/>
      <c r="I28" s="352" t="s">
        <v>371</v>
      </c>
    </row>
    <row r="29" spans="2:19" s="1" customFormat="1" ht="13.35" customHeight="1" x14ac:dyDescent="0.2">
      <c r="C29" s="29"/>
    </row>
    <row r="30" spans="2:19" s="1" customFormat="1" ht="13.35" customHeight="1" x14ac:dyDescent="0.2">
      <c r="C30" s="29"/>
      <c r="G30" s="147"/>
      <c r="J30" s="147"/>
      <c r="M30" s="147"/>
      <c r="P30" s="147"/>
    </row>
    <row r="31" spans="2:19" s="28" customFormat="1" ht="13.35" hidden="1" customHeight="1" x14ac:dyDescent="0.2">
      <c r="D31" s="97" t="s">
        <v>229</v>
      </c>
      <c r="E31" s="118">
        <f>E13-A2.1.1!E29</f>
        <v>0</v>
      </c>
      <c r="F31" s="118">
        <f>F13-A2.1.1!F29</f>
        <v>0</v>
      </c>
      <c r="G31" s="118">
        <f>G13-A2.1.1!G29</f>
        <v>0</v>
      </c>
      <c r="H31" s="118">
        <f>H13-A2.1.1!H29</f>
        <v>0</v>
      </c>
      <c r="I31" s="118">
        <f>I13-A2.1.1!I29</f>
        <v>0</v>
      </c>
      <c r="J31" s="118">
        <f>J13-A2.1.1!J29</f>
        <v>0</v>
      </c>
      <c r="K31" s="118">
        <f>K13-A2.1.1!K29</f>
        <v>0</v>
      </c>
      <c r="L31" s="118">
        <f>L13-A2.1.1!L29</f>
        <v>0</v>
      </c>
      <c r="M31" s="118">
        <f>M13-A2.1.1!M29</f>
        <v>0</v>
      </c>
      <c r="N31" s="118">
        <f>N13-A2.1.1!N29</f>
        <v>0</v>
      </c>
      <c r="O31" s="118">
        <f>O13-A2.1.1!O29</f>
        <v>0</v>
      </c>
      <c r="P31" s="119">
        <f>P13-A2.1.1!P29</f>
        <v>0</v>
      </c>
      <c r="Q31" s="66"/>
    </row>
    <row r="32" spans="2:19" customFormat="1" ht="13.35" hidden="1" customHeight="1" x14ac:dyDescent="0.2">
      <c r="D32" s="97" t="s">
        <v>214</v>
      </c>
      <c r="E32" s="118"/>
      <c r="F32" s="118"/>
      <c r="G32" s="118"/>
      <c r="H32" s="118"/>
      <c r="I32" s="119"/>
      <c r="Q32" s="1"/>
    </row>
    <row r="33" spans="4:18" customFormat="1" ht="13.35" hidden="1" customHeight="1" x14ac:dyDescent="0.2">
      <c r="I33" s="1"/>
      <c r="Q33" s="1"/>
    </row>
    <row r="34" spans="4:18" customFormat="1" ht="13.35" hidden="1" customHeight="1" x14ac:dyDescent="0.2">
      <c r="I34" s="1"/>
      <c r="J34" s="42"/>
      <c r="K34" s="42"/>
      <c r="N34" s="42"/>
      <c r="O34" s="82"/>
      <c r="Q34" s="6"/>
      <c r="R34" s="6"/>
    </row>
    <row r="35" spans="4:18" customFormat="1" ht="13.35" hidden="1" customHeight="1" x14ac:dyDescent="0.2">
      <c r="I35" s="1"/>
      <c r="J35" s="42"/>
      <c r="K35" s="42"/>
      <c r="N35" s="783">
        <f>N17+N18+N23</f>
        <v>0.70654732668429454</v>
      </c>
      <c r="O35" s="784">
        <f>O17+O18+O23</f>
        <v>0.74959077775656136</v>
      </c>
      <c r="P35" s="785">
        <f>P17+P18+P23</f>
        <v>0.7757451259985475</v>
      </c>
      <c r="Q35" s="6"/>
      <c r="R35" s="6"/>
    </row>
    <row r="36" spans="4:18" customFormat="1" ht="12.75" hidden="1" customHeight="1" x14ac:dyDescent="0.2">
      <c r="D36" s="2"/>
      <c r="E36" s="2"/>
      <c r="F36" s="2"/>
      <c r="G36" s="2"/>
      <c r="H36" s="14"/>
      <c r="I36" s="6"/>
      <c r="J36" s="6"/>
      <c r="K36" s="6"/>
      <c r="L36" s="6"/>
      <c r="M36" s="6"/>
      <c r="N36" s="6"/>
      <c r="O36" s="6"/>
      <c r="P36" s="6"/>
      <c r="Q36" s="6"/>
      <c r="R36" s="6"/>
    </row>
    <row r="37" spans="4:18" ht="13.35" hidden="1" customHeight="1" x14ac:dyDescent="0.2">
      <c r="D37" s="163" t="s">
        <v>11</v>
      </c>
      <c r="E37" s="164">
        <f t="shared" ref="E37:P37" si="2">SUM(E38:E43)</f>
        <v>1908930</v>
      </c>
      <c r="F37" s="164">
        <f t="shared" si="2"/>
        <v>393110.13981100003</v>
      </c>
      <c r="G37" s="164">
        <f t="shared" si="2"/>
        <v>89662.652931000033</v>
      </c>
      <c r="H37" s="164">
        <f t="shared" si="2"/>
        <v>2012168</v>
      </c>
      <c r="I37" s="164">
        <f t="shared" si="2"/>
        <v>408873.95429000002</v>
      </c>
      <c r="J37" s="164">
        <f t="shared" si="2"/>
        <v>89221.122757000005</v>
      </c>
      <c r="K37" s="164">
        <f t="shared" si="2"/>
        <v>2085349</v>
      </c>
      <c r="L37" s="164">
        <f t="shared" si="2"/>
        <v>451415.99417299998</v>
      </c>
      <c r="M37" s="164">
        <f t="shared" si="2"/>
        <v>98594.739469999971</v>
      </c>
      <c r="N37" s="164">
        <f t="shared" si="2"/>
        <v>2049928</v>
      </c>
      <c r="O37" s="164">
        <f t="shared" si="2"/>
        <v>475809.18180299993</v>
      </c>
      <c r="P37" s="165">
        <f t="shared" si="2"/>
        <v>104165.86108400003</v>
      </c>
    </row>
    <row r="38" spans="4:18" ht="13.35" hidden="1" customHeight="1" x14ac:dyDescent="0.2">
      <c r="D38" s="170" t="s">
        <v>443</v>
      </c>
      <c r="E38" s="122">
        <v>947346</v>
      </c>
      <c r="F38" s="122">
        <v>207962.49808399999</v>
      </c>
      <c r="G38" s="122">
        <v>49321.844921000004</v>
      </c>
      <c r="H38" s="122">
        <v>996349</v>
      </c>
      <c r="I38" s="122">
        <v>213664.55872500001</v>
      </c>
      <c r="J38" s="122">
        <v>48428.921608999997</v>
      </c>
      <c r="K38" s="122">
        <v>1029780</v>
      </c>
      <c r="L38" s="122">
        <v>234347.84301700001</v>
      </c>
      <c r="M38" s="122">
        <v>53179.415844000003</v>
      </c>
      <c r="N38" s="122">
        <v>1006616</v>
      </c>
      <c r="O38" s="122">
        <v>245906.62124099999</v>
      </c>
      <c r="P38" s="123">
        <v>55971.024924999998</v>
      </c>
    </row>
    <row r="39" spans="4:18" ht="13.35" hidden="1" customHeight="1" x14ac:dyDescent="0.2">
      <c r="D39" s="171" t="s">
        <v>444</v>
      </c>
      <c r="E39" s="166">
        <v>556709</v>
      </c>
      <c r="F39" s="166">
        <v>109737.531569</v>
      </c>
      <c r="G39" s="166">
        <v>23988.271302000001</v>
      </c>
      <c r="H39" s="166">
        <v>592177</v>
      </c>
      <c r="I39" s="166">
        <v>117745.63338100001</v>
      </c>
      <c r="J39" s="166">
        <v>24827.723144</v>
      </c>
      <c r="K39" s="166">
        <v>617226</v>
      </c>
      <c r="L39" s="166">
        <v>131095.011818</v>
      </c>
      <c r="M39" s="166">
        <v>27656.355635</v>
      </c>
      <c r="N39" s="166">
        <v>616530</v>
      </c>
      <c r="O39" s="166">
        <v>139274.636474</v>
      </c>
      <c r="P39" s="167">
        <v>29318.880754999998</v>
      </c>
    </row>
    <row r="40" spans="4:18" ht="13.35" hidden="1" customHeight="1" x14ac:dyDescent="0.2">
      <c r="D40" s="171" t="s">
        <v>445</v>
      </c>
      <c r="E40" s="166">
        <v>399297</v>
      </c>
      <c r="F40" s="166">
        <v>69721.823109999998</v>
      </c>
      <c r="G40" s="166">
        <v>14247.641396999999</v>
      </c>
      <c r="H40" s="166">
        <v>417987</v>
      </c>
      <c r="I40" s="166">
        <v>72373.988532999996</v>
      </c>
      <c r="J40" s="166">
        <v>14098.266147</v>
      </c>
      <c r="K40" s="166">
        <v>432497</v>
      </c>
      <c r="L40" s="166">
        <v>80499.387315999993</v>
      </c>
      <c r="M40" s="166">
        <v>15846.180895</v>
      </c>
      <c r="N40" s="166">
        <v>420860</v>
      </c>
      <c r="O40" s="166">
        <v>84681.316963999998</v>
      </c>
      <c r="P40" s="167">
        <v>16798.981609999999</v>
      </c>
    </row>
    <row r="41" spans="4:18" ht="13.35" hidden="1" customHeight="1" x14ac:dyDescent="0.2">
      <c r="D41" s="171" t="s">
        <v>446</v>
      </c>
      <c r="E41" s="166">
        <v>561</v>
      </c>
      <c r="F41" s="166">
        <v>3359.5736860000002</v>
      </c>
      <c r="G41" s="166">
        <v>1419.807589</v>
      </c>
      <c r="H41" s="166">
        <v>562</v>
      </c>
      <c r="I41" s="166">
        <v>2379.983964</v>
      </c>
      <c r="J41" s="166">
        <v>1055.5800589999999</v>
      </c>
      <c r="K41" s="166">
        <v>532</v>
      </c>
      <c r="L41" s="166">
        <v>2490.0657759999999</v>
      </c>
      <c r="M41" s="166">
        <v>1019.753166</v>
      </c>
      <c r="N41" s="166">
        <v>493</v>
      </c>
      <c r="O41" s="166">
        <v>2786.8397060000002</v>
      </c>
      <c r="P41" s="167">
        <v>1131.981528</v>
      </c>
    </row>
    <row r="42" spans="4:18" ht="13.35" hidden="1" customHeight="1" x14ac:dyDescent="0.2">
      <c r="D42" s="171" t="s">
        <v>447</v>
      </c>
      <c r="E42" s="166">
        <v>5017</v>
      </c>
      <c r="F42" s="166">
        <v>2328.713362</v>
      </c>
      <c r="G42" s="166">
        <v>685.08774100000005</v>
      </c>
      <c r="H42" s="166">
        <v>5093</v>
      </c>
      <c r="I42" s="166">
        <v>2709.789687</v>
      </c>
      <c r="J42" s="166">
        <v>810.63189699999998</v>
      </c>
      <c r="K42" s="166">
        <v>5314</v>
      </c>
      <c r="L42" s="166">
        <v>2983.6862460000002</v>
      </c>
      <c r="M42" s="166">
        <v>893.03397900000004</v>
      </c>
      <c r="N42" s="166">
        <v>5429</v>
      </c>
      <c r="O42" s="166">
        <v>3159.7674179999999</v>
      </c>
      <c r="P42" s="167">
        <v>944.99235699999997</v>
      </c>
    </row>
    <row r="43" spans="4:18" ht="13.35" hidden="1" customHeight="1" x14ac:dyDescent="0.2">
      <c r="D43" s="172" t="s">
        <v>231</v>
      </c>
      <c r="E43" s="168">
        <v>0</v>
      </c>
      <c r="F43" s="168">
        <v>0</v>
      </c>
      <c r="G43" s="168">
        <v>-1.8999970052391301E-5</v>
      </c>
      <c r="H43" s="168">
        <v>0</v>
      </c>
      <c r="I43" s="168">
        <v>0</v>
      </c>
      <c r="J43" s="168">
        <v>-9.8999997135251801E-5</v>
      </c>
      <c r="K43" s="168">
        <v>0</v>
      </c>
      <c r="L43" s="168">
        <v>0</v>
      </c>
      <c r="M43" s="168">
        <v>-4.9000023864209699E-5</v>
      </c>
      <c r="N43" s="168">
        <v>0</v>
      </c>
      <c r="O43" s="168">
        <v>0</v>
      </c>
      <c r="P43" s="169">
        <v>-9.0999965323135297E-5</v>
      </c>
    </row>
    <row r="44" spans="4:18" ht="13.35" customHeight="1" x14ac:dyDescent="0.2"/>
    <row r="45" spans="4:18" ht="13.35" customHeight="1" x14ac:dyDescent="0.2"/>
  </sheetData>
  <mergeCells count="3">
    <mergeCell ref="C3:D3"/>
    <mergeCell ref="C25:P26"/>
    <mergeCell ref="N2:P2"/>
  </mergeCells>
  <phoneticPr fontId="10" type="noConversion"/>
  <hyperlinks>
    <hyperlink ref="I28"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7" tint="0.79998168889431442"/>
    <pageSetUpPr fitToPage="1"/>
  </sheetPr>
  <dimension ref="B1:S31"/>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5.7109375" style="2" customWidth="1"/>
    <col min="5" max="7" width="9.28515625" style="2" customWidth="1"/>
    <col min="8" max="8" width="9.28515625" style="14" customWidth="1"/>
    <col min="9" max="16" width="9.28515625" style="6" customWidth="1"/>
    <col min="17" max="17" width="9.140625" style="6"/>
    <col min="18" max="19" width="9.140625" style="6" hidden="1" customWidth="1"/>
    <col min="20" max="16384" width="9.140625" style="10"/>
  </cols>
  <sheetData>
    <row r="1" spans="2:19" s="8" customFormat="1" ht="15" customHeight="1" x14ac:dyDescent="0.2">
      <c r="B1" s="439" t="s">
        <v>387</v>
      </c>
      <c r="C1" s="51"/>
      <c r="D1" s="51"/>
      <c r="E1" s="70"/>
      <c r="F1" s="70"/>
      <c r="G1" s="70"/>
      <c r="H1" s="61"/>
      <c r="I1" s="4"/>
      <c r="J1" s="5"/>
      <c r="K1" s="4"/>
      <c r="L1" s="4"/>
      <c r="M1" s="4"/>
      <c r="N1" s="4"/>
      <c r="O1" s="4"/>
      <c r="P1" s="4"/>
      <c r="Q1" s="4"/>
      <c r="R1" s="4"/>
      <c r="S1" s="4"/>
    </row>
    <row r="2" spans="2:19" s="8" customFormat="1" ht="15" customHeight="1" x14ac:dyDescent="0.2">
      <c r="B2" s="463"/>
      <c r="C2" s="464" t="s">
        <v>168</v>
      </c>
      <c r="D2" s="526"/>
      <c r="E2" s="466" t="s">
        <v>576</v>
      </c>
      <c r="F2" s="467"/>
      <c r="G2" s="468"/>
      <c r="H2" s="469" t="s">
        <v>577</v>
      </c>
      <c r="I2" s="467"/>
      <c r="J2" s="468"/>
      <c r="K2" s="469" t="s">
        <v>578</v>
      </c>
      <c r="L2" s="467"/>
      <c r="M2" s="468"/>
      <c r="N2" s="469" t="s">
        <v>579</v>
      </c>
      <c r="O2" s="467"/>
      <c r="P2" s="468"/>
      <c r="Q2" s="4"/>
      <c r="R2" s="4"/>
      <c r="S2" s="4"/>
    </row>
    <row r="3" spans="2:19" ht="38.1" customHeight="1" x14ac:dyDescent="0.2">
      <c r="B3" s="470"/>
      <c r="C3" s="1028" t="s">
        <v>159</v>
      </c>
      <c r="D3" s="1030"/>
      <c r="E3" s="506" t="s">
        <v>17</v>
      </c>
      <c r="F3" s="506" t="s">
        <v>67</v>
      </c>
      <c r="G3" s="507" t="s">
        <v>68</v>
      </c>
      <c r="H3" s="506" t="s">
        <v>17</v>
      </c>
      <c r="I3" s="506" t="s">
        <v>67</v>
      </c>
      <c r="J3" s="507" t="s">
        <v>68</v>
      </c>
      <c r="K3" s="506" t="s">
        <v>17</v>
      </c>
      <c r="L3" s="506" t="s">
        <v>67</v>
      </c>
      <c r="M3" s="507" t="s">
        <v>68</v>
      </c>
      <c r="N3" s="506" t="s">
        <v>17</v>
      </c>
      <c r="O3" s="506" t="s">
        <v>67</v>
      </c>
      <c r="P3" s="507" t="s">
        <v>68</v>
      </c>
      <c r="S3" s="9"/>
    </row>
    <row r="4" spans="2:19" ht="13.35" customHeight="1" x14ac:dyDescent="0.2">
      <c r="B4" s="728"/>
      <c r="C4" s="16" t="s">
        <v>97</v>
      </c>
      <c r="D4" s="338"/>
      <c r="E4" s="708">
        <v>17974</v>
      </c>
      <c r="F4" s="708">
        <v>1227.655321</v>
      </c>
      <c r="G4" s="709">
        <v>187.76285799999999</v>
      </c>
      <c r="H4" s="708">
        <v>17899</v>
      </c>
      <c r="I4" s="708">
        <v>1282.693348</v>
      </c>
      <c r="J4" s="709">
        <v>185.01630399999999</v>
      </c>
      <c r="K4" s="708">
        <v>17522</v>
      </c>
      <c r="L4" s="708">
        <v>1389.5924319999999</v>
      </c>
      <c r="M4" s="709">
        <v>208.698238</v>
      </c>
      <c r="N4" s="708">
        <v>16326</v>
      </c>
      <c r="O4" s="708">
        <v>1364.590467</v>
      </c>
      <c r="P4" s="709">
        <v>199.716747</v>
      </c>
      <c r="S4" s="11"/>
    </row>
    <row r="5" spans="2:19" ht="13.35" customHeight="1" x14ac:dyDescent="0.2">
      <c r="B5" s="728"/>
      <c r="C5" s="16" t="s">
        <v>98</v>
      </c>
      <c r="D5" s="338"/>
      <c r="E5" s="708">
        <v>114127</v>
      </c>
      <c r="F5" s="708">
        <v>7829.7250800000002</v>
      </c>
      <c r="G5" s="709">
        <v>828.32959500000004</v>
      </c>
      <c r="H5" s="708">
        <v>115145</v>
      </c>
      <c r="I5" s="708">
        <v>8009.8659310000003</v>
      </c>
      <c r="J5" s="709">
        <v>741.74311299999999</v>
      </c>
      <c r="K5" s="708">
        <v>129318</v>
      </c>
      <c r="L5" s="708">
        <v>9111.1789370000006</v>
      </c>
      <c r="M5" s="709">
        <v>798.65793299999996</v>
      </c>
      <c r="N5" s="708">
        <v>122750</v>
      </c>
      <c r="O5" s="708">
        <v>8915.1837880000003</v>
      </c>
      <c r="P5" s="709">
        <v>784.74863300000004</v>
      </c>
      <c r="S5" s="12"/>
    </row>
    <row r="6" spans="2:19" ht="13.35" customHeight="1" x14ac:dyDescent="0.2">
      <c r="B6" s="728"/>
      <c r="C6" s="16" t="s">
        <v>99</v>
      </c>
      <c r="D6" s="338"/>
      <c r="E6" s="708">
        <v>1057897</v>
      </c>
      <c r="F6" s="708">
        <v>149793.37612199999</v>
      </c>
      <c r="G6" s="709">
        <v>25806.252413999999</v>
      </c>
      <c r="H6" s="708">
        <v>1151853</v>
      </c>
      <c r="I6" s="708">
        <v>162651.54132700001</v>
      </c>
      <c r="J6" s="709">
        <v>26039.362993999999</v>
      </c>
      <c r="K6" s="708">
        <v>1253748</v>
      </c>
      <c r="L6" s="708">
        <v>184139.25553900001</v>
      </c>
      <c r="M6" s="709">
        <v>29099.557472</v>
      </c>
      <c r="N6" s="708">
        <v>1250124</v>
      </c>
      <c r="O6" s="708">
        <v>195867.50857000001</v>
      </c>
      <c r="P6" s="709">
        <v>30992.022117</v>
      </c>
      <c r="S6" s="12"/>
    </row>
    <row r="7" spans="2:19" ht="13.35" customHeight="1" x14ac:dyDescent="0.2">
      <c r="B7" s="728"/>
      <c r="C7" s="16" t="s">
        <v>100</v>
      </c>
      <c r="D7" s="338"/>
      <c r="E7" s="708">
        <f t="shared" ref="E7:P7" si="0">E29</f>
        <v>1342778</v>
      </c>
      <c r="F7" s="708">
        <f t="shared" si="0"/>
        <v>256852.20977399999</v>
      </c>
      <c r="G7" s="709">
        <f t="shared" si="0"/>
        <v>55065.537234999996</v>
      </c>
      <c r="H7" s="708">
        <f t="shared" si="0"/>
        <v>1408822</v>
      </c>
      <c r="I7" s="708">
        <f t="shared" si="0"/>
        <v>270040.267743</v>
      </c>
      <c r="J7" s="709">
        <f t="shared" si="0"/>
        <v>55437.51348400001</v>
      </c>
      <c r="K7" s="708">
        <f t="shared" si="0"/>
        <v>1445111</v>
      </c>
      <c r="L7" s="708">
        <f t="shared" si="0"/>
        <v>296663.11249199999</v>
      </c>
      <c r="M7" s="709">
        <f t="shared" si="0"/>
        <v>61069.754936999954</v>
      </c>
      <c r="N7" s="708">
        <f t="shared" si="0"/>
        <v>1406477</v>
      </c>
      <c r="O7" s="708">
        <f t="shared" si="0"/>
        <v>312767.53762100002</v>
      </c>
      <c r="P7" s="709">
        <f t="shared" si="0"/>
        <v>64559.46200500003</v>
      </c>
      <c r="S7" s="12"/>
    </row>
    <row r="8" spans="2:19" ht="13.35" customHeight="1" x14ac:dyDescent="0.2">
      <c r="B8" s="728"/>
      <c r="C8" s="16" t="s">
        <v>101</v>
      </c>
      <c r="D8" s="338"/>
      <c r="E8" s="708">
        <v>1115282</v>
      </c>
      <c r="F8" s="708">
        <v>227417.66540599999</v>
      </c>
      <c r="G8" s="709">
        <v>51523.522632</v>
      </c>
      <c r="H8" s="708">
        <v>1168354</v>
      </c>
      <c r="I8" s="708">
        <v>238238.324204</v>
      </c>
      <c r="J8" s="709">
        <v>51851.14993</v>
      </c>
      <c r="K8" s="708">
        <v>1184480</v>
      </c>
      <c r="L8" s="708">
        <v>263542.65248799999</v>
      </c>
      <c r="M8" s="709">
        <v>57758.993850999999</v>
      </c>
      <c r="N8" s="708">
        <v>1156780</v>
      </c>
      <c r="O8" s="708">
        <v>281588.52631099999</v>
      </c>
      <c r="P8" s="709">
        <v>61913.170642999998</v>
      </c>
    </row>
    <row r="9" spans="2:19" ht="13.35" customHeight="1" x14ac:dyDescent="0.2">
      <c r="B9" s="728"/>
      <c r="C9" s="16" t="s">
        <v>102</v>
      </c>
      <c r="D9" s="338"/>
      <c r="E9" s="708">
        <v>664562</v>
      </c>
      <c r="F9" s="708">
        <v>126308.466705</v>
      </c>
      <c r="G9" s="709">
        <v>29818.846119000002</v>
      </c>
      <c r="H9" s="708">
        <v>713551</v>
      </c>
      <c r="I9" s="708">
        <v>135849.95835</v>
      </c>
      <c r="J9" s="709">
        <v>30699.550507</v>
      </c>
      <c r="K9" s="708">
        <v>727099</v>
      </c>
      <c r="L9" s="708">
        <v>152190.42102000001</v>
      </c>
      <c r="M9" s="709">
        <v>34514.197049000002</v>
      </c>
      <c r="N9" s="708">
        <v>723207</v>
      </c>
      <c r="O9" s="708">
        <v>163676.24419</v>
      </c>
      <c r="P9" s="709">
        <v>37375.388381999997</v>
      </c>
    </row>
    <row r="10" spans="2:19" ht="13.35" customHeight="1" x14ac:dyDescent="0.2">
      <c r="B10" s="728"/>
      <c r="C10" s="16" t="s">
        <v>233</v>
      </c>
      <c r="D10" s="338"/>
      <c r="E10" s="708">
        <v>269263</v>
      </c>
      <c r="F10" s="708">
        <v>35105.672929</v>
      </c>
      <c r="G10" s="709">
        <v>7180.9677419999998</v>
      </c>
      <c r="H10" s="708">
        <v>286746</v>
      </c>
      <c r="I10" s="708">
        <v>36637.323576000003</v>
      </c>
      <c r="J10" s="709">
        <v>7022.4642290000002</v>
      </c>
      <c r="K10" s="708">
        <v>295759</v>
      </c>
      <c r="L10" s="708">
        <v>40556.688699999999</v>
      </c>
      <c r="M10" s="709">
        <v>7915.3921970000001</v>
      </c>
      <c r="N10" s="708">
        <v>288842</v>
      </c>
      <c r="O10" s="708">
        <v>44030.945720999996</v>
      </c>
      <c r="P10" s="709">
        <v>8744.2179780000006</v>
      </c>
    </row>
    <row r="11" spans="2:19" s="1" customFormat="1" ht="13.35" customHeight="1" x14ac:dyDescent="0.2">
      <c r="B11" s="729"/>
      <c r="C11" s="280" t="s">
        <v>232</v>
      </c>
      <c r="D11" s="434"/>
      <c r="E11" s="710">
        <v>130826</v>
      </c>
      <c r="F11" s="710">
        <v>13975.09715</v>
      </c>
      <c r="G11" s="711">
        <v>2229.7936599999998</v>
      </c>
      <c r="H11" s="710">
        <v>139188</v>
      </c>
      <c r="I11" s="710">
        <v>14636.498852000001</v>
      </c>
      <c r="J11" s="711">
        <v>2148.643235</v>
      </c>
      <c r="K11" s="710">
        <v>146323</v>
      </c>
      <c r="L11" s="710">
        <v>15189.685872</v>
      </c>
      <c r="M11" s="711">
        <v>2137.5753439999999</v>
      </c>
      <c r="N11" s="710">
        <v>143701</v>
      </c>
      <c r="O11" s="710">
        <v>15725.201109</v>
      </c>
      <c r="P11" s="711">
        <v>2099.62311</v>
      </c>
    </row>
    <row r="12" spans="2:19" s="1" customFormat="1" ht="13.35" customHeight="1" x14ac:dyDescent="0.2">
      <c r="B12" s="632"/>
      <c r="C12" s="635" t="s">
        <v>8</v>
      </c>
      <c r="D12" s="636"/>
      <c r="E12" s="712">
        <f t="shared" ref="E12:P12" si="1">SUM(E4:E11)</f>
        <v>4712709</v>
      </c>
      <c r="F12" s="712">
        <f t="shared" si="1"/>
        <v>818509.868487</v>
      </c>
      <c r="G12" s="713">
        <f t="shared" si="1"/>
        <v>172641.01225500001</v>
      </c>
      <c r="H12" s="712">
        <f t="shared" si="1"/>
        <v>5001558</v>
      </c>
      <c r="I12" s="712">
        <f t="shared" si="1"/>
        <v>867346.47333100007</v>
      </c>
      <c r="J12" s="713">
        <f t="shared" si="1"/>
        <v>174125.44379600004</v>
      </c>
      <c r="K12" s="712">
        <f t="shared" si="1"/>
        <v>5199360</v>
      </c>
      <c r="L12" s="712">
        <f t="shared" si="1"/>
        <v>962782.58747999999</v>
      </c>
      <c r="M12" s="713">
        <f t="shared" si="1"/>
        <v>193502.82702099998</v>
      </c>
      <c r="N12" s="712">
        <f t="shared" si="1"/>
        <v>5108207</v>
      </c>
      <c r="O12" s="712">
        <f t="shared" si="1"/>
        <v>1023935.7377770001</v>
      </c>
      <c r="P12" s="713">
        <f t="shared" si="1"/>
        <v>206668.34961500001</v>
      </c>
    </row>
    <row r="13" spans="2:19" s="1" customFormat="1" ht="13.35" customHeight="1" x14ac:dyDescent="0.2">
      <c r="B13" s="631"/>
      <c r="C13" s="721" t="s">
        <v>87</v>
      </c>
      <c r="D13" s="72"/>
      <c r="E13" s="722"/>
      <c r="F13" s="722"/>
      <c r="G13" s="723"/>
      <c r="H13" s="722"/>
      <c r="I13" s="722"/>
      <c r="J13" s="723"/>
      <c r="K13" s="722"/>
      <c r="L13" s="722"/>
      <c r="M13" s="723"/>
      <c r="N13" s="722"/>
      <c r="O13" s="722"/>
      <c r="P13" s="723"/>
    </row>
    <row r="14" spans="2:19" s="1" customFormat="1" ht="13.35" customHeight="1" x14ac:dyDescent="0.2">
      <c r="B14" s="728"/>
      <c r="C14" s="16" t="s">
        <v>97</v>
      </c>
      <c r="D14" s="338"/>
      <c r="E14" s="715">
        <f>A2.1.4!E4/A2.1.4!E$12</f>
        <v>3.8139422569906183E-3</v>
      </c>
      <c r="F14" s="715">
        <f>A2.1.4!F4/A2.1.4!F$12</f>
        <v>1.4998662426261244E-3</v>
      </c>
      <c r="G14" s="716">
        <f>A2.1.4!G4/A2.1.4!G$12</f>
        <v>1.0875912713177575E-3</v>
      </c>
      <c r="H14" s="715">
        <f>A2.1.4!H4/A2.1.4!H$12</f>
        <v>3.5786848817908339E-3</v>
      </c>
      <c r="I14" s="715">
        <f>A2.1.4!I4/A2.1.4!I$12</f>
        <v>1.4788707713007483E-3</v>
      </c>
      <c r="J14" s="716">
        <f>A2.1.4!J4/A2.1.4!J$12</f>
        <v>1.0625460585574119E-3</v>
      </c>
      <c r="K14" s="715">
        <f>A2.1.4!K4/A2.1.4!K$12</f>
        <v>3.3700301575578535E-3</v>
      </c>
      <c r="L14" s="715">
        <f>A2.1.4!L4/A2.1.4!L$12</f>
        <v>1.4433086452437177E-3</v>
      </c>
      <c r="M14" s="716">
        <f>A2.1.4!M4/A2.1.4!M$12</f>
        <v>1.0785281084154442E-3</v>
      </c>
      <c r="N14" s="715">
        <f>A2.1.4!N4/A2.1.4!N$12</f>
        <v>3.1960333635657288E-3</v>
      </c>
      <c r="O14" s="715">
        <f>A2.1.4!O4/A2.1.4!O$12</f>
        <v>1.3326915124210559E-3</v>
      </c>
      <c r="P14" s="716">
        <f>A2.1.4!P4/A2.1.4!P$12</f>
        <v>9.6636348706538729E-4</v>
      </c>
    </row>
    <row r="15" spans="2:19" s="1" customFormat="1" ht="13.35" customHeight="1" x14ac:dyDescent="0.2">
      <c r="B15" s="728"/>
      <c r="C15" s="16" t="s">
        <v>98</v>
      </c>
      <c r="D15" s="338"/>
      <c r="E15" s="715">
        <f>A2.1.4!E5/A2.1.4!E$12</f>
        <v>2.4216857013662416E-2</v>
      </c>
      <c r="F15" s="715">
        <f>A2.1.4!F5/A2.1.4!F$12</f>
        <v>9.5658285641358233E-3</v>
      </c>
      <c r="G15" s="716">
        <f>A2.1.4!G5/A2.1.4!G$12</f>
        <v>4.7979885206912067E-3</v>
      </c>
      <c r="H15" s="715">
        <f>A2.1.4!H5/A2.1.4!H$12</f>
        <v>2.3021826398894104E-2</v>
      </c>
      <c r="I15" s="715">
        <f>A2.1.4!I5/A2.1.4!I$12</f>
        <v>9.2349092055894547E-3</v>
      </c>
      <c r="J15" s="716">
        <f>A2.1.4!J5/A2.1.4!J$12</f>
        <v>4.2598203733453409E-3</v>
      </c>
      <c r="K15" s="715">
        <f>A2.1.4!K5/A2.1.4!K$12</f>
        <v>2.487190731166913E-2</v>
      </c>
      <c r="L15" s="715">
        <f>A2.1.4!L5/A2.1.4!L$12</f>
        <v>9.4633815105108227E-3</v>
      </c>
      <c r="M15" s="716">
        <f>A2.1.4!M5/A2.1.4!M$12</f>
        <v>4.127370877704672E-3</v>
      </c>
      <c r="N15" s="715">
        <f>A2.1.4!N5/A2.1.4!N$12</f>
        <v>2.4029958065520836E-2</v>
      </c>
      <c r="O15" s="715">
        <f>A2.1.4!O5/A2.1.4!O$12</f>
        <v>8.7067805713620001E-3</v>
      </c>
      <c r="P15" s="716">
        <f>A2.1.4!P5/A2.1.4!P$12</f>
        <v>3.79713988359562E-3</v>
      </c>
    </row>
    <row r="16" spans="2:19" customFormat="1" ht="13.35" customHeight="1" x14ac:dyDescent="0.2">
      <c r="B16" s="728"/>
      <c r="C16" s="16" t="s">
        <v>99</v>
      </c>
      <c r="D16" s="338"/>
      <c r="E16" s="715">
        <f>A2.1.4!E6/A2.1.4!E$12</f>
        <v>0.22447747145007255</v>
      </c>
      <c r="F16" s="715">
        <f>A2.1.4!F6/A2.1.4!F$12</f>
        <v>0.18300741614623439</v>
      </c>
      <c r="G16" s="716">
        <f>A2.1.4!G6/A2.1.4!G$12</f>
        <v>0.14947926959489083</v>
      </c>
      <c r="H16" s="715">
        <f>A2.1.4!H6/A2.1.4!H$12</f>
        <v>0.23029883888180444</v>
      </c>
      <c r="I16" s="715">
        <f>A2.1.4!I6/A2.1.4!I$12</f>
        <v>0.18752776004535424</v>
      </c>
      <c r="J16" s="716">
        <f>A2.1.4!J6/A2.1.4!J$12</f>
        <v>0.14954369922242328</v>
      </c>
      <c r="K16" s="715">
        <f>A2.1.4!K6/A2.1.4!K$12</f>
        <v>0.24113506277695718</v>
      </c>
      <c r="L16" s="715">
        <f>A2.1.4!L6/A2.1.4!L$12</f>
        <v>0.1912573595882831</v>
      </c>
      <c r="M16" s="716">
        <f>A2.1.4!M6/A2.1.4!M$12</f>
        <v>0.15038311284641831</v>
      </c>
      <c r="N16" s="715">
        <f>A2.1.4!N6/A2.1.4!N$12</f>
        <v>0.24472853194868571</v>
      </c>
      <c r="O16" s="715">
        <f>A2.1.4!O6/A2.1.4!O$12</f>
        <v>0.19128886837687212</v>
      </c>
      <c r="P16" s="716">
        <f>A2.1.4!P6/A2.1.4!P$12</f>
        <v>0.14996017616986185</v>
      </c>
    </row>
    <row r="17" spans="2:19" customFormat="1" ht="13.35" customHeight="1" x14ac:dyDescent="0.2">
      <c r="B17" s="728"/>
      <c r="C17" s="16" t="s">
        <v>100</v>
      </c>
      <c r="D17" s="338"/>
      <c r="E17" s="715">
        <f>A2.1.4!E7/A2.1.4!E$12</f>
        <v>0.28492699209732664</v>
      </c>
      <c r="F17" s="715">
        <f>A2.1.4!F7/A2.1.4!F$12</f>
        <v>0.31380465851778483</v>
      </c>
      <c r="G17" s="716">
        <f>A2.1.4!G7/A2.1.4!G$12</f>
        <v>0.31895976810924426</v>
      </c>
      <c r="H17" s="715">
        <f>A2.1.4!H7/A2.1.4!H$12</f>
        <v>0.28167662956222839</v>
      </c>
      <c r="I17" s="715">
        <f>A2.1.4!I7/A2.1.4!I$12</f>
        <v>0.31134071106085676</v>
      </c>
      <c r="J17" s="716">
        <f>A2.1.4!J7/A2.1.4!J$12</f>
        <v>0.31837686828209255</v>
      </c>
      <c r="K17" s="715">
        <f>A2.1.4!K7/A2.1.4!K$12</f>
        <v>0.27794016955933037</v>
      </c>
      <c r="L17" s="715">
        <f>A2.1.4!L7/A2.1.4!L$12</f>
        <v>0.30813094913618033</v>
      </c>
      <c r="M17" s="716">
        <f>A2.1.4!M7/A2.1.4!M$12</f>
        <v>0.31560135775366388</v>
      </c>
      <c r="N17" s="715">
        <f>A2.1.4!N7/A2.1.4!N$12</f>
        <v>0.27533672774028145</v>
      </c>
      <c r="O17" s="715">
        <f>A2.1.4!O7/A2.1.4!O$12</f>
        <v>0.30545621769197079</v>
      </c>
      <c r="P17" s="716">
        <f>A2.1.4!P7/A2.1.4!P$12</f>
        <v>0.3123819497531532</v>
      </c>
      <c r="R17" s="83">
        <f>AVERAGE(E17,H17,K17,N17)</f>
        <v>0.27997012973979168</v>
      </c>
      <c r="S17" s="83">
        <f>AVERAGE(G17,J17,M17,P17)</f>
        <v>0.31632998597453849</v>
      </c>
    </row>
    <row r="18" spans="2:19" customFormat="1" ht="13.35" customHeight="1" x14ac:dyDescent="0.2">
      <c r="B18" s="728"/>
      <c r="C18" s="16" t="s">
        <v>101</v>
      </c>
      <c r="D18" s="338"/>
      <c r="E18" s="715">
        <f>A2.1.4!E8/A2.1.4!E$12</f>
        <v>0.23665411974301828</v>
      </c>
      <c r="F18" s="715">
        <f>A2.1.4!F8/A2.1.4!F$12</f>
        <v>0.27784352292096032</v>
      </c>
      <c r="G18" s="716">
        <f>A2.1.4!G8/A2.1.4!G$12</f>
        <v>0.29844312170677617</v>
      </c>
      <c r="H18" s="715">
        <f>A2.1.4!H8/A2.1.4!H$12</f>
        <v>0.23359801085981607</v>
      </c>
      <c r="I18" s="715">
        <f>A2.1.4!I8/A2.1.4!I$12</f>
        <v>0.27467492118698289</v>
      </c>
      <c r="J18" s="716">
        <f>A2.1.4!J8/A2.1.4!J$12</f>
        <v>0.29778043231147311</v>
      </c>
      <c r="K18" s="715">
        <f>A2.1.4!K8/A2.1.4!K$12</f>
        <v>0.22781265386509109</v>
      </c>
      <c r="L18" s="715">
        <f>A2.1.4!L8/A2.1.4!L$12</f>
        <v>0.27373018157484552</v>
      </c>
      <c r="M18" s="716">
        <f>A2.1.4!M8/A2.1.4!M$12</f>
        <v>0.29849173131063184</v>
      </c>
      <c r="N18" s="715">
        <f>A2.1.4!N8/A2.1.4!N$12</f>
        <v>0.2264551925949751</v>
      </c>
      <c r="O18" s="715">
        <f>A2.1.4!O8/A2.1.4!O$12</f>
        <v>0.27500605352669732</v>
      </c>
      <c r="P18" s="716">
        <f>A2.1.4!P8/A2.1.4!P$12</f>
        <v>0.29957741840169189</v>
      </c>
    </row>
    <row r="19" spans="2:19" customFormat="1" ht="13.35" customHeight="1" x14ac:dyDescent="0.2">
      <c r="B19" s="728"/>
      <c r="C19" s="16" t="s">
        <v>102</v>
      </c>
      <c r="D19" s="338"/>
      <c r="E19" s="715">
        <f>A2.1.4!E9/A2.1.4!E$12</f>
        <v>0.14101486003061084</v>
      </c>
      <c r="F19" s="715">
        <f>A2.1.4!F9/A2.1.4!F$12</f>
        <v>0.15431514214786293</v>
      </c>
      <c r="G19" s="716">
        <f>A2.1.4!G9/A2.1.4!G$12</f>
        <v>0.17272168258001158</v>
      </c>
      <c r="H19" s="715">
        <f>A2.1.4!H9/A2.1.4!H$12</f>
        <v>0.14266574535374776</v>
      </c>
      <c r="I19" s="715">
        <f>A2.1.4!I9/A2.1.4!I$12</f>
        <v>0.15662709485434942</v>
      </c>
      <c r="J19" s="716">
        <f>A2.1.4!J9/A2.1.4!J$12</f>
        <v>0.17630709124260233</v>
      </c>
      <c r="K19" s="715">
        <f>A2.1.4!K9/A2.1.4!K$12</f>
        <v>0.13984394233136385</v>
      </c>
      <c r="L19" s="715">
        <f>A2.1.4!L9/A2.1.4!L$12</f>
        <v>0.15807350797478095</v>
      </c>
      <c r="M19" s="716">
        <f>A2.1.4!M9/A2.1.4!M$12</f>
        <v>0.17836533750100889</v>
      </c>
      <c r="N19" s="715">
        <f>A2.1.4!N9/A2.1.4!N$12</f>
        <v>0.14157746543943892</v>
      </c>
      <c r="O19" s="715">
        <f>A2.1.4!O9/A2.1.4!O$12</f>
        <v>0.15985011378286962</v>
      </c>
      <c r="P19" s="716">
        <f>A2.1.4!P9/A2.1.4!P$12</f>
        <v>0.18084718076873482</v>
      </c>
    </row>
    <row r="20" spans="2:19" customFormat="1" ht="13.35" customHeight="1" x14ac:dyDescent="0.2">
      <c r="B20" s="728"/>
      <c r="C20" s="16" t="s">
        <v>233</v>
      </c>
      <c r="D20" s="338"/>
      <c r="E20" s="715">
        <f>A2.1.4!E10/A2.1.4!E$12</f>
        <v>5.7135503168135357E-2</v>
      </c>
      <c r="F20" s="715">
        <f>A2.1.4!F10/A2.1.4!F$12</f>
        <v>4.2889736923871394E-2</v>
      </c>
      <c r="G20" s="716">
        <f>A2.1.4!G10/A2.1.4!G$12</f>
        <v>4.1594796324487059E-2</v>
      </c>
      <c r="H20" s="715">
        <f>A2.1.4!H10/A2.1.4!H$12</f>
        <v>5.7331335555840801E-2</v>
      </c>
      <c r="I20" s="715">
        <f>A2.1.4!I10/A2.1.4!I$12</f>
        <v>4.2240701614080729E-2</v>
      </c>
      <c r="J20" s="716">
        <f>A2.1.4!J10/A2.1.4!J$12</f>
        <v>4.0329914318709796E-2</v>
      </c>
      <c r="K20" s="715">
        <f>A2.1.4!K10/A2.1.4!K$12</f>
        <v>5.6883731843919254E-2</v>
      </c>
      <c r="L20" s="715">
        <f>A2.1.4!L10/A2.1.4!L$12</f>
        <v>4.2124451799812473E-2</v>
      </c>
      <c r="M20" s="716">
        <f>A2.1.4!M10/A2.1.4!M$12</f>
        <v>4.0905821991639321E-2</v>
      </c>
      <c r="N20" s="715">
        <f>A2.1.4!N10/A2.1.4!N$12</f>
        <v>5.6544693666486109E-2</v>
      </c>
      <c r="O20" s="715">
        <f>A2.1.4!O10/A2.1.4!O$12</f>
        <v>4.3001669046724263E-2</v>
      </c>
      <c r="P20" s="716">
        <f>A2.1.4!P10/A2.1.4!P$12</f>
        <v>4.2310387605501758E-2</v>
      </c>
    </row>
    <row r="21" spans="2:19" customFormat="1" ht="13.35" customHeight="1" x14ac:dyDescent="0.2">
      <c r="B21" s="729"/>
      <c r="C21" s="280" t="s">
        <v>232</v>
      </c>
      <c r="D21" s="434"/>
      <c r="E21" s="717">
        <f>A2.1.4!E11/A2.1.4!E$12</f>
        <v>2.7760254240183298E-2</v>
      </c>
      <c r="F21" s="717">
        <f>A2.1.4!F11/A2.1.4!F$12</f>
        <v>1.7073828536524185E-2</v>
      </c>
      <c r="G21" s="718">
        <f>A2.1.4!G11/A2.1.4!G$12</f>
        <v>1.2915781892581094E-2</v>
      </c>
      <c r="H21" s="717">
        <f>A2.1.4!H11/A2.1.4!H$12</f>
        <v>2.7828928505877568E-2</v>
      </c>
      <c r="I21" s="717">
        <f>A2.1.4!I11/A2.1.4!I$12</f>
        <v>1.6875031261485703E-2</v>
      </c>
      <c r="J21" s="718">
        <f>A2.1.4!J11/A2.1.4!J$12</f>
        <v>1.2339628190796077E-2</v>
      </c>
      <c r="K21" s="717">
        <f>A2.1.4!K11/A2.1.4!K$12</f>
        <v>2.8142502154111276E-2</v>
      </c>
      <c r="L21" s="717">
        <f>A2.1.4!L11/A2.1.4!L$12</f>
        <v>1.577685977034305E-2</v>
      </c>
      <c r="M21" s="718">
        <f>A2.1.4!M11/A2.1.4!M$12</f>
        <v>1.1046739610517518E-2</v>
      </c>
      <c r="N21" s="717">
        <f>A2.1.4!N11/A2.1.4!N$12</f>
        <v>2.8131397181046108E-2</v>
      </c>
      <c r="O21" s="717">
        <f>A2.1.4!O11/A2.1.4!O$12</f>
        <v>1.5357605491082825E-2</v>
      </c>
      <c r="P21" s="718">
        <f>A2.1.4!P11/A2.1.4!P$12</f>
        <v>1.0159383930395548E-2</v>
      </c>
    </row>
    <row r="22" spans="2:19" customFormat="1" ht="13.35" customHeight="1" x14ac:dyDescent="0.2">
      <c r="B22" s="632"/>
      <c r="C22" s="635" t="s">
        <v>8</v>
      </c>
      <c r="D22" s="636"/>
      <c r="E22" s="719">
        <f t="shared" ref="E22:P22" si="2">SUM(E14:E21)</f>
        <v>0.99999999999999989</v>
      </c>
      <c r="F22" s="719">
        <f t="shared" si="2"/>
        <v>1.0000000000000002</v>
      </c>
      <c r="G22" s="720">
        <f t="shared" si="2"/>
        <v>0.99999999999999989</v>
      </c>
      <c r="H22" s="719">
        <f t="shared" si="2"/>
        <v>1</v>
      </c>
      <c r="I22" s="719">
        <f t="shared" si="2"/>
        <v>1</v>
      </c>
      <c r="J22" s="720">
        <f t="shared" si="2"/>
        <v>0.99999999999999989</v>
      </c>
      <c r="K22" s="719">
        <f t="shared" si="2"/>
        <v>1</v>
      </c>
      <c r="L22" s="719">
        <f t="shared" si="2"/>
        <v>1</v>
      </c>
      <c r="M22" s="720">
        <f t="shared" si="2"/>
        <v>0.99999999999999989</v>
      </c>
      <c r="N22" s="719">
        <f t="shared" si="2"/>
        <v>0.99999999999999989</v>
      </c>
      <c r="O22" s="719">
        <f t="shared" si="2"/>
        <v>1.0000000000000002</v>
      </c>
      <c r="P22" s="720">
        <f t="shared" si="2"/>
        <v>1</v>
      </c>
    </row>
    <row r="23" spans="2:19" customFormat="1" ht="13.35" customHeight="1" x14ac:dyDescent="0.2">
      <c r="B23" s="1"/>
      <c r="C23" s="1"/>
      <c r="D23" s="1"/>
      <c r="E23" s="1"/>
      <c r="F23" s="1"/>
      <c r="G23" s="1"/>
      <c r="H23" s="1"/>
      <c r="I23" s="1"/>
      <c r="J23" s="1"/>
      <c r="K23" s="1"/>
      <c r="L23" s="1"/>
      <c r="M23" s="1"/>
      <c r="N23" s="1"/>
      <c r="O23" s="1"/>
      <c r="P23" s="1"/>
    </row>
    <row r="24" spans="2:19" customFormat="1" ht="13.35" customHeight="1" x14ac:dyDescent="0.2">
      <c r="I24" s="352" t="s">
        <v>371</v>
      </c>
    </row>
    <row r="25" spans="2:19" customFormat="1" ht="13.35" customHeight="1" x14ac:dyDescent="0.2">
      <c r="I25" s="1"/>
    </row>
    <row r="26" spans="2:19" customFormat="1" ht="13.35" customHeight="1" x14ac:dyDescent="0.2">
      <c r="B26" s="409"/>
      <c r="C26" s="409"/>
      <c r="D26" s="409"/>
      <c r="E26" s="409"/>
      <c r="F26" s="409"/>
      <c r="G26" s="409"/>
      <c r="H26" s="409"/>
      <c r="I26" s="409"/>
      <c r="J26" s="409"/>
      <c r="K26" s="409"/>
      <c r="L26" s="409"/>
      <c r="M26" s="409"/>
      <c r="N26" s="409"/>
      <c r="O26" s="409"/>
      <c r="P26" s="409"/>
      <c r="Q26" s="410"/>
    </row>
    <row r="27" spans="2:19" s="21" customFormat="1" ht="13.35" hidden="1" customHeight="1" x14ac:dyDescent="0.2">
      <c r="B27" s="3"/>
      <c r="C27" s="17"/>
      <c r="D27" s="97" t="s">
        <v>228</v>
      </c>
      <c r="E27" s="98">
        <f>E12-A2.1.1!E29</f>
        <v>0</v>
      </c>
      <c r="F27" s="98">
        <f>F12-A2.1.1!F29</f>
        <v>0</v>
      </c>
      <c r="G27" s="98">
        <f>G12-A2.1.1!G29</f>
        <v>0</v>
      </c>
      <c r="H27" s="98">
        <f>H12-A2.1.1!H29</f>
        <v>0</v>
      </c>
      <c r="I27" s="98">
        <f>I12-A2.1.1!I29</f>
        <v>0</v>
      </c>
      <c r="J27" s="98">
        <f>J12-A2.1.1!J29</f>
        <v>0</v>
      </c>
      <c r="K27" s="98">
        <f>K12-A2.1.1!K29</f>
        <v>0</v>
      </c>
      <c r="L27" s="98">
        <f>L12-A2.1.1!L29</f>
        <v>0</v>
      </c>
      <c r="M27" s="98">
        <f>M12-A2.1.1!M29</f>
        <v>0</v>
      </c>
      <c r="N27" s="98">
        <f>N12-A2.1.1!N29</f>
        <v>0</v>
      </c>
      <c r="O27" s="98">
        <f>O12-A2.1.1!O29</f>
        <v>0</v>
      </c>
      <c r="P27" s="99">
        <f>P12-A2.1.1!P29</f>
        <v>0</v>
      </c>
      <c r="Q27" s="6"/>
      <c r="R27" s="6"/>
      <c r="S27" s="12"/>
    </row>
    <row r="28" spans="2:19" customFormat="1" ht="13.35" hidden="1" customHeight="1" x14ac:dyDescent="0.2">
      <c r="G28" s="173"/>
      <c r="I28" s="1"/>
      <c r="J28" s="173"/>
      <c r="M28" s="173"/>
      <c r="P28" s="173"/>
    </row>
    <row r="29" spans="2:19" customFormat="1" ht="13.35" hidden="1" customHeight="1" x14ac:dyDescent="0.2">
      <c r="D29" s="97" t="s">
        <v>408</v>
      </c>
      <c r="E29" s="98">
        <f t="shared" ref="E29:P29" si="3">SUM(E30:E31)</f>
        <v>1342778</v>
      </c>
      <c r="F29" s="98">
        <f t="shared" si="3"/>
        <v>256852.20977399999</v>
      </c>
      <c r="G29" s="98">
        <f t="shared" si="3"/>
        <v>55065.537234999996</v>
      </c>
      <c r="H29" s="98">
        <f t="shared" si="3"/>
        <v>1408822</v>
      </c>
      <c r="I29" s="98">
        <f t="shared" si="3"/>
        <v>270040.267743</v>
      </c>
      <c r="J29" s="98">
        <f t="shared" si="3"/>
        <v>55437.51348400001</v>
      </c>
      <c r="K29" s="98">
        <f t="shared" si="3"/>
        <v>1445111</v>
      </c>
      <c r="L29" s="98">
        <f t="shared" si="3"/>
        <v>296663.11249199999</v>
      </c>
      <c r="M29" s="98">
        <f t="shared" si="3"/>
        <v>61069.754936999954</v>
      </c>
      <c r="N29" s="98">
        <f t="shared" si="3"/>
        <v>1406477</v>
      </c>
      <c r="O29" s="98">
        <f t="shared" si="3"/>
        <v>312767.53762100002</v>
      </c>
      <c r="P29" s="99">
        <f t="shared" si="3"/>
        <v>64559.46200500003</v>
      </c>
    </row>
    <row r="30" spans="2:19" customFormat="1" ht="13.35" hidden="1" customHeight="1" x14ac:dyDescent="0.2">
      <c r="D30" s="724" t="s">
        <v>448</v>
      </c>
      <c r="E30" s="725">
        <v>1342778</v>
      </c>
      <c r="F30" s="725">
        <v>256852.20977399999</v>
      </c>
      <c r="G30" s="725">
        <v>55065.537278000003</v>
      </c>
      <c r="H30" s="725">
        <v>1408822</v>
      </c>
      <c r="I30" s="725">
        <v>270040.267743</v>
      </c>
      <c r="J30" s="725">
        <v>55437.513502000002</v>
      </c>
      <c r="K30" s="725">
        <v>1445111</v>
      </c>
      <c r="L30" s="725">
        <v>296663.11249199999</v>
      </c>
      <c r="M30" s="725">
        <v>61069.754951000003</v>
      </c>
      <c r="N30" s="725">
        <v>1406477</v>
      </c>
      <c r="O30" s="725">
        <v>312767.53762100002</v>
      </c>
      <c r="P30" s="726">
        <v>64559.462028000002</v>
      </c>
    </row>
    <row r="31" spans="2:19" customFormat="1" ht="13.35" hidden="1" customHeight="1" x14ac:dyDescent="0.2">
      <c r="D31" s="727" t="s">
        <v>231</v>
      </c>
      <c r="E31" s="177">
        <v>0</v>
      </c>
      <c r="F31" s="177">
        <v>0</v>
      </c>
      <c r="G31" s="177">
        <v>-4.3000007281079902E-5</v>
      </c>
      <c r="H31" s="177">
        <v>0</v>
      </c>
      <c r="I31" s="177">
        <v>0</v>
      </c>
      <c r="J31" s="177">
        <v>-1.7999991541728401E-5</v>
      </c>
      <c r="K31" s="177">
        <v>0</v>
      </c>
      <c r="L31" s="177">
        <v>0</v>
      </c>
      <c r="M31" s="177">
        <v>-1.40000483952463E-5</v>
      </c>
      <c r="N31" s="177">
        <v>0</v>
      </c>
      <c r="O31" s="177">
        <v>0</v>
      </c>
      <c r="P31" s="178">
        <v>-2.2999971406534301E-5</v>
      </c>
    </row>
  </sheetData>
  <mergeCells count="1">
    <mergeCell ref="C3:D3"/>
  </mergeCells>
  <hyperlinks>
    <hyperlink ref="I24"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theme="7" tint="0.79998168889431442"/>
    <pageSetUpPr fitToPage="1"/>
  </sheetPr>
  <dimension ref="B1:T27"/>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5.7109375" style="2" customWidth="1"/>
    <col min="5" max="7" width="9.28515625" style="2" customWidth="1"/>
    <col min="8" max="8" width="9.28515625" style="14" customWidth="1"/>
    <col min="9" max="16" width="9.28515625" style="6" customWidth="1"/>
    <col min="17" max="17" width="9.140625" style="6"/>
    <col min="18" max="20" width="8.7109375" style="6" hidden="1" customWidth="1"/>
    <col min="21" max="16384" width="9.140625" style="10"/>
  </cols>
  <sheetData>
    <row r="1" spans="2:20" s="1" customFormat="1" ht="15" customHeight="1" x14ac:dyDescent="0.2">
      <c r="B1" s="439" t="s">
        <v>386</v>
      </c>
      <c r="C1" s="51"/>
      <c r="D1" s="51"/>
      <c r="E1" s="70"/>
      <c r="F1" s="70"/>
      <c r="G1" s="70"/>
      <c r="H1" s="61"/>
      <c r="I1" s="4"/>
      <c r="J1" s="5"/>
      <c r="K1" s="4"/>
      <c r="L1" s="4"/>
      <c r="M1" s="4"/>
      <c r="N1" s="4"/>
      <c r="O1" s="4"/>
      <c r="P1" s="4"/>
    </row>
    <row r="2" spans="2:20"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20" customFormat="1" ht="38.1" customHeight="1" x14ac:dyDescent="0.2">
      <c r="B3" s="470"/>
      <c r="C3" s="1028" t="s">
        <v>88</v>
      </c>
      <c r="D3" s="1030"/>
      <c r="E3" s="506" t="s">
        <v>17</v>
      </c>
      <c r="F3" s="506" t="s">
        <v>67</v>
      </c>
      <c r="G3" s="507" t="s">
        <v>68</v>
      </c>
      <c r="H3" s="506" t="s">
        <v>17</v>
      </c>
      <c r="I3" s="506" t="s">
        <v>67</v>
      </c>
      <c r="J3" s="507" t="s">
        <v>68</v>
      </c>
      <c r="K3" s="506" t="s">
        <v>17</v>
      </c>
      <c r="L3" s="506" t="s">
        <v>67</v>
      </c>
      <c r="M3" s="507" t="s">
        <v>68</v>
      </c>
      <c r="N3" s="506" t="s">
        <v>17</v>
      </c>
      <c r="O3" s="506" t="s">
        <v>67</v>
      </c>
      <c r="P3" s="507" t="s">
        <v>68</v>
      </c>
    </row>
    <row r="4" spans="2:20" customFormat="1" ht="13.35" customHeight="1" x14ac:dyDescent="0.2">
      <c r="B4" s="89"/>
      <c r="C4" s="90" t="s">
        <v>2</v>
      </c>
      <c r="D4" s="338"/>
      <c r="E4" s="708">
        <v>1998106</v>
      </c>
      <c r="F4" s="708">
        <v>280127.10036099999</v>
      </c>
      <c r="G4" s="709">
        <v>48062.665229999999</v>
      </c>
      <c r="H4" s="708">
        <v>2141770</v>
      </c>
      <c r="I4" s="708">
        <v>307787.71359599999</v>
      </c>
      <c r="J4" s="709">
        <v>50144.284045</v>
      </c>
      <c r="K4" s="708">
        <v>2239316</v>
      </c>
      <c r="L4" s="708">
        <v>346575.46056500002</v>
      </c>
      <c r="M4" s="709">
        <v>57227.777560000002</v>
      </c>
      <c r="N4" s="708">
        <v>2226693</v>
      </c>
      <c r="O4" s="708">
        <v>372946.931025</v>
      </c>
      <c r="P4" s="709">
        <v>62303.130145000003</v>
      </c>
    </row>
    <row r="5" spans="2:20" customFormat="1" ht="13.35" customHeight="1" x14ac:dyDescent="0.2">
      <c r="B5" s="570"/>
      <c r="C5" s="571" t="s">
        <v>3</v>
      </c>
      <c r="D5" s="434"/>
      <c r="E5" s="710">
        <f>E22</f>
        <v>2714603</v>
      </c>
      <c r="F5" s="710">
        <f t="shared" ref="F5:P5" si="0">F22</f>
        <v>538382.76812599995</v>
      </c>
      <c r="G5" s="711">
        <f t="shared" si="0"/>
        <v>124578.34702500002</v>
      </c>
      <c r="H5" s="710">
        <f t="shared" si="0"/>
        <v>2859788</v>
      </c>
      <c r="I5" s="710">
        <f t="shared" si="0"/>
        <v>559558.75973499997</v>
      </c>
      <c r="J5" s="711">
        <f t="shared" si="0"/>
        <v>123981.159751</v>
      </c>
      <c r="K5" s="710">
        <f t="shared" si="0"/>
        <v>2960044</v>
      </c>
      <c r="L5" s="710">
        <f t="shared" si="0"/>
        <v>616207.12691500003</v>
      </c>
      <c r="M5" s="711">
        <f t="shared" si="0"/>
        <v>136275.04946099999</v>
      </c>
      <c r="N5" s="710">
        <f t="shared" si="0"/>
        <v>2881514</v>
      </c>
      <c r="O5" s="710">
        <f t="shared" si="0"/>
        <v>650988.806752</v>
      </c>
      <c r="P5" s="711">
        <f t="shared" si="0"/>
        <v>144365.21947000001</v>
      </c>
    </row>
    <row r="6" spans="2:20" s="1" customFormat="1" ht="13.35" customHeight="1" x14ac:dyDescent="0.2">
      <c r="B6" s="525"/>
      <c r="C6" s="635" t="s">
        <v>8</v>
      </c>
      <c r="D6" s="636"/>
      <c r="E6" s="712">
        <f t="shared" ref="E6:P6" si="1">SUM(E4:E5)</f>
        <v>4712709</v>
      </c>
      <c r="F6" s="712">
        <f t="shared" si="1"/>
        <v>818509.868487</v>
      </c>
      <c r="G6" s="713">
        <f t="shared" si="1"/>
        <v>172641.01225500001</v>
      </c>
      <c r="H6" s="712">
        <f t="shared" si="1"/>
        <v>5001558</v>
      </c>
      <c r="I6" s="712">
        <f t="shared" si="1"/>
        <v>867346.47333099996</v>
      </c>
      <c r="J6" s="713">
        <f t="shared" si="1"/>
        <v>174125.44379600001</v>
      </c>
      <c r="K6" s="712">
        <f t="shared" si="1"/>
        <v>5199360</v>
      </c>
      <c r="L6" s="712">
        <f t="shared" si="1"/>
        <v>962782.58747999999</v>
      </c>
      <c r="M6" s="713">
        <f t="shared" si="1"/>
        <v>193502.82702099998</v>
      </c>
      <c r="N6" s="712">
        <f t="shared" si="1"/>
        <v>5108207</v>
      </c>
      <c r="O6" s="712">
        <f t="shared" si="1"/>
        <v>1023935.7377770001</v>
      </c>
      <c r="P6" s="713">
        <f t="shared" si="1"/>
        <v>206668.34961500001</v>
      </c>
    </row>
    <row r="7" spans="2:20" s="1" customFormat="1" ht="13.35" customHeight="1" x14ac:dyDescent="0.2">
      <c r="B7" s="26"/>
      <c r="C7" s="721" t="s">
        <v>87</v>
      </c>
      <c r="D7" s="72"/>
      <c r="E7" s="722"/>
      <c r="F7" s="722"/>
      <c r="G7" s="723"/>
      <c r="H7" s="722"/>
      <c r="I7" s="722"/>
      <c r="J7" s="723"/>
      <c r="K7" s="722"/>
      <c r="L7" s="722"/>
      <c r="M7" s="723"/>
      <c r="N7" s="722"/>
      <c r="O7" s="722"/>
      <c r="P7" s="723"/>
    </row>
    <row r="8" spans="2:20" customFormat="1" ht="13.35" customHeight="1" x14ac:dyDescent="0.2">
      <c r="B8" s="89"/>
      <c r="C8" s="90" t="s">
        <v>2</v>
      </c>
      <c r="D8" s="338"/>
      <c r="E8" s="715">
        <f>A2.1.5!E4/A2.1.5!E$6</f>
        <v>0.42398246953079427</v>
      </c>
      <c r="F8" s="715">
        <f>A2.1.5!F4/A2.1.5!F$6</f>
        <v>0.34224034571361933</v>
      </c>
      <c r="G8" s="716">
        <f>A2.1.5!G4/A2.1.5!G$6</f>
        <v>0.27839656754913411</v>
      </c>
      <c r="H8" s="715">
        <f>A2.1.5!H4/A2.1.5!H$6</f>
        <v>0.42822056647148748</v>
      </c>
      <c r="I8" s="715">
        <f>A2.1.5!I4/A2.1.5!I$6</f>
        <v>0.35486131904584445</v>
      </c>
      <c r="J8" s="716">
        <f>A2.1.5!J4/A2.1.5!J$6</f>
        <v>0.28797792529245464</v>
      </c>
      <c r="K8" s="715">
        <f>A2.1.5!K4/A2.1.5!K$6</f>
        <v>0.43069070039389462</v>
      </c>
      <c r="L8" s="715">
        <f>A2.1.5!L4/A2.1.5!L$6</f>
        <v>0.35997271354079147</v>
      </c>
      <c r="M8" s="716">
        <f>A2.1.5!M4/A2.1.5!M$6</f>
        <v>0.29574646758927886</v>
      </c>
      <c r="N8" s="715">
        <f>A2.1.5!N4/A2.1.5!N$6</f>
        <v>0.43590500541579463</v>
      </c>
      <c r="O8" s="715">
        <f>A2.1.5!O4/A2.1.5!O$6</f>
        <v>0.36422884490259194</v>
      </c>
      <c r="P8" s="716">
        <f>A2.1.5!P4/A2.1.5!P$6</f>
        <v>0.30146430385234968</v>
      </c>
      <c r="R8" s="83">
        <f t="shared" ref="R8:T9" si="2">AVERAGE(E8,H8,K8,N8)</f>
        <v>0.42969968545299275</v>
      </c>
      <c r="S8" s="83">
        <f t="shared" si="2"/>
        <v>0.35532580580071177</v>
      </c>
      <c r="T8" s="83">
        <f t="shared" si="2"/>
        <v>0.29089631607080435</v>
      </c>
    </row>
    <row r="9" spans="2:20" customFormat="1" ht="13.35" customHeight="1" x14ac:dyDescent="0.2">
      <c r="B9" s="570"/>
      <c r="C9" s="571" t="s">
        <v>3</v>
      </c>
      <c r="D9" s="434"/>
      <c r="E9" s="717">
        <f>A2.1.5!E5/A2.1.5!E$6</f>
        <v>0.57601753046920567</v>
      </c>
      <c r="F9" s="717">
        <f>A2.1.5!F5/A2.1.5!F$6</f>
        <v>0.65775965428638061</v>
      </c>
      <c r="G9" s="718">
        <f>A2.1.5!G5/A2.1.5!G$6</f>
        <v>0.721603432450866</v>
      </c>
      <c r="H9" s="717">
        <f>A2.1.5!H5/A2.1.5!H$6</f>
        <v>0.57177943352851257</v>
      </c>
      <c r="I9" s="717">
        <f>A2.1.5!I5/A2.1.5!I$6</f>
        <v>0.64513868095415561</v>
      </c>
      <c r="J9" s="718">
        <f>A2.1.5!J5/A2.1.5!J$6</f>
        <v>0.7120220747075453</v>
      </c>
      <c r="K9" s="717">
        <f>A2.1.5!K5/A2.1.5!K$6</f>
        <v>0.56930929960610532</v>
      </c>
      <c r="L9" s="717">
        <f>A2.1.5!L5/A2.1.5!L$6</f>
        <v>0.64002728645920859</v>
      </c>
      <c r="M9" s="718">
        <f>A2.1.5!M5/A2.1.5!M$6</f>
        <v>0.70425353241072119</v>
      </c>
      <c r="N9" s="717">
        <f>A2.1.5!N5/A2.1.5!N$6</f>
        <v>0.56409499458420542</v>
      </c>
      <c r="O9" s="717">
        <f>A2.1.5!O5/A2.1.5!O$6</f>
        <v>0.635771155097408</v>
      </c>
      <c r="P9" s="718">
        <f>A2.1.5!P5/A2.1.5!P$6</f>
        <v>0.69853569614765032</v>
      </c>
      <c r="R9" s="83">
        <f t="shared" si="2"/>
        <v>0.57030031454700725</v>
      </c>
      <c r="S9" s="83">
        <f t="shared" si="2"/>
        <v>0.64467419419928818</v>
      </c>
      <c r="T9" s="83">
        <f t="shared" si="2"/>
        <v>0.70910368392919576</v>
      </c>
    </row>
    <row r="10" spans="2:20" customFormat="1" ht="13.35" customHeight="1" x14ac:dyDescent="0.2">
      <c r="B10" s="525"/>
      <c r="C10" s="635" t="s">
        <v>8</v>
      </c>
      <c r="D10" s="636"/>
      <c r="E10" s="719">
        <f t="shared" ref="E10:P10" si="3">SUM(E8:E9)</f>
        <v>1</v>
      </c>
      <c r="F10" s="719">
        <f t="shared" si="3"/>
        <v>1</v>
      </c>
      <c r="G10" s="720">
        <f t="shared" si="3"/>
        <v>1</v>
      </c>
      <c r="H10" s="719">
        <f t="shared" si="3"/>
        <v>1</v>
      </c>
      <c r="I10" s="719">
        <f t="shared" si="3"/>
        <v>1</v>
      </c>
      <c r="J10" s="720">
        <f t="shared" si="3"/>
        <v>1</v>
      </c>
      <c r="K10" s="719">
        <f t="shared" si="3"/>
        <v>1</v>
      </c>
      <c r="L10" s="719">
        <f t="shared" si="3"/>
        <v>1</v>
      </c>
      <c r="M10" s="720">
        <f t="shared" si="3"/>
        <v>1</v>
      </c>
      <c r="N10" s="719">
        <f t="shared" si="3"/>
        <v>1</v>
      </c>
      <c r="O10" s="719">
        <f t="shared" si="3"/>
        <v>1</v>
      </c>
      <c r="P10" s="720">
        <f t="shared" si="3"/>
        <v>1</v>
      </c>
      <c r="S10" s="83">
        <f>S9-S8</f>
        <v>0.28934838839857641</v>
      </c>
      <c r="T10" s="83">
        <f>T9-T8</f>
        <v>0.41820736785839141</v>
      </c>
    </row>
    <row r="11" spans="2:20" customFormat="1" ht="13.35" customHeight="1" x14ac:dyDescent="0.2">
      <c r="I11" s="1"/>
    </row>
    <row r="12" spans="2:20" customFormat="1" ht="13.35" customHeight="1" x14ac:dyDescent="0.2">
      <c r="E12" s="2"/>
      <c r="I12" s="352" t="s">
        <v>371</v>
      </c>
    </row>
    <row r="13" spans="2:20" customFormat="1" ht="13.35" customHeight="1" x14ac:dyDescent="0.2">
      <c r="E13" s="2"/>
      <c r="I13" s="352"/>
    </row>
    <row r="14" spans="2:20" customFormat="1" ht="13.35" customHeight="1" x14ac:dyDescent="0.2">
      <c r="G14" s="173"/>
      <c r="I14" s="1"/>
      <c r="J14" s="173"/>
      <c r="M14" s="173"/>
    </row>
    <row r="15" spans="2:20" customFormat="1" ht="13.35" hidden="1" customHeight="1" x14ac:dyDescent="0.2">
      <c r="B15" s="3"/>
      <c r="C15" s="17"/>
      <c r="D15" s="97" t="s">
        <v>228</v>
      </c>
      <c r="E15" s="98">
        <f>E6-A2.1.1!E29</f>
        <v>0</v>
      </c>
      <c r="F15" s="98">
        <f>F6-A2.1.1!F29</f>
        <v>0</v>
      </c>
      <c r="G15" s="98">
        <f>G6-A2.1.1!G29</f>
        <v>0</v>
      </c>
      <c r="H15" s="98">
        <f>H6-A2.1.1!H29</f>
        <v>0</v>
      </c>
      <c r="I15" s="98">
        <f>I6-A2.1.1!I29</f>
        <v>0</v>
      </c>
      <c r="J15" s="98">
        <f>J6-A2.1.1!J29</f>
        <v>0</v>
      </c>
      <c r="K15" s="98">
        <f>K6-A2.1.1!K29</f>
        <v>0</v>
      </c>
      <c r="L15" s="98">
        <f>L6-A2.1.1!L29</f>
        <v>0</v>
      </c>
      <c r="M15" s="98">
        <f>M6-A2.1.1!M29</f>
        <v>0</v>
      </c>
      <c r="N15" s="98">
        <f>N6-A2.1.1!N29</f>
        <v>0</v>
      </c>
      <c r="O15" s="98">
        <f>O6-A2.1.1!O29</f>
        <v>0</v>
      </c>
      <c r="P15" s="99">
        <f>P6-A2.1.1!P29</f>
        <v>0</v>
      </c>
    </row>
    <row r="16" spans="2:20" customFormat="1" ht="13.35" hidden="1" customHeight="1" x14ac:dyDescent="0.2">
      <c r="I16" s="1"/>
    </row>
    <row r="17" spans="4:18" customFormat="1" ht="13.35" hidden="1" customHeight="1" x14ac:dyDescent="0.2">
      <c r="D17" s="31"/>
      <c r="F17" s="91">
        <f>AVERAGE(F9,I9,L9,O9)</f>
        <v>0.64467419419928818</v>
      </c>
      <c r="G17" s="92">
        <f>AVERAGE(G9,J9,M9,P9)</f>
        <v>0.70910368392919576</v>
      </c>
      <c r="I17" s="1"/>
      <c r="O17" s="786" t="s">
        <v>492</v>
      </c>
    </row>
    <row r="18" spans="4:18" customFormat="1" ht="13.35" hidden="1" customHeight="1" x14ac:dyDescent="0.2">
      <c r="I18" s="1"/>
      <c r="N18" s="789" t="s">
        <v>200</v>
      </c>
      <c r="O18" s="787">
        <f>(O4*1000000)/N4</f>
        <v>167489.15590294666</v>
      </c>
      <c r="P18" s="791">
        <f>(P4*1000000)/N4</f>
        <v>27980.116767331645</v>
      </c>
      <c r="Q18" s="790">
        <f>P4/O4</f>
        <v>0.16705628860858918</v>
      </c>
      <c r="R18" s="792"/>
    </row>
    <row r="19" spans="4:18" customFormat="1" ht="13.35" hidden="1" customHeight="1" x14ac:dyDescent="0.2">
      <c r="E19" s="2"/>
      <c r="F19" s="43"/>
      <c r="G19" s="43"/>
      <c r="H19" s="14"/>
      <c r="I19" s="65"/>
      <c r="J19" s="43"/>
      <c r="K19" s="6"/>
      <c r="L19" s="43"/>
      <c r="M19" s="43"/>
      <c r="N19" s="788" t="s">
        <v>199</v>
      </c>
      <c r="O19" s="787">
        <f>(O5*1000000)/N5</f>
        <v>225919.0157507477</v>
      </c>
      <c r="P19" s="791">
        <f>(P5*1000000)/N5</f>
        <v>50100.474774719121</v>
      </c>
      <c r="Q19" s="790">
        <f>P5/O5</f>
        <v>0.22176298266983449</v>
      </c>
      <c r="R19" s="792"/>
    </row>
    <row r="20" spans="4:18" customFormat="1" ht="13.35" hidden="1" customHeight="1" x14ac:dyDescent="0.2">
      <c r="D20" s="93" t="s">
        <v>215</v>
      </c>
      <c r="E20" s="94"/>
      <c r="F20" s="95"/>
      <c r="G20" s="96"/>
      <c r="H20" s="14"/>
      <c r="I20" s="65"/>
      <c r="J20" s="43"/>
      <c r="K20" s="6"/>
      <c r="L20" s="43"/>
      <c r="M20" s="43"/>
      <c r="N20" s="6"/>
      <c r="O20" s="793">
        <f>O19-O18</f>
        <v>58429.859847801039</v>
      </c>
      <c r="P20" s="793">
        <f>P19-P18</f>
        <v>22120.358007387476</v>
      </c>
      <c r="Q20" s="790">
        <f>O20/O19</f>
        <v>0.25863188033833162</v>
      </c>
      <c r="R20" s="790">
        <f>P20/P19</f>
        <v>0.44151992784207084</v>
      </c>
    </row>
    <row r="21" spans="4:18" customFormat="1" ht="13.35" hidden="1" customHeight="1" x14ac:dyDescent="0.2">
      <c r="E21" s="2"/>
      <c r="F21" s="43"/>
      <c r="G21" s="43"/>
      <c r="H21" s="14"/>
      <c r="I21" s="65"/>
      <c r="J21" s="43"/>
      <c r="K21" s="6"/>
      <c r="L21" s="43"/>
      <c r="M21" s="43"/>
      <c r="N21" s="6"/>
      <c r="O21" s="43"/>
      <c r="P21" s="43"/>
    </row>
    <row r="22" spans="4:18" ht="13.35" hidden="1" customHeight="1" x14ac:dyDescent="0.2">
      <c r="D22" s="219"/>
      <c r="E22" s="220">
        <f t="shared" ref="E22:P22" si="4">SUM(E23:E25)</f>
        <v>2714603</v>
      </c>
      <c r="F22" s="122">
        <f t="shared" si="4"/>
        <v>538382.76812599995</v>
      </c>
      <c r="G22" s="122">
        <f t="shared" si="4"/>
        <v>124578.34702500002</v>
      </c>
      <c r="H22" s="122">
        <f t="shared" si="4"/>
        <v>2859788</v>
      </c>
      <c r="I22" s="122">
        <f t="shared" si="4"/>
        <v>559558.75973499997</v>
      </c>
      <c r="J22" s="122">
        <f t="shared" si="4"/>
        <v>123981.159751</v>
      </c>
      <c r="K22" s="122">
        <f t="shared" si="4"/>
        <v>2960044</v>
      </c>
      <c r="L22" s="122">
        <f t="shared" si="4"/>
        <v>616207.12691500003</v>
      </c>
      <c r="M22" s="122">
        <f t="shared" si="4"/>
        <v>136275.04946099999</v>
      </c>
      <c r="N22" s="122">
        <f t="shared" si="4"/>
        <v>2881514</v>
      </c>
      <c r="O22" s="122">
        <f t="shared" si="4"/>
        <v>650988.806752</v>
      </c>
      <c r="P22" s="123">
        <f t="shared" si="4"/>
        <v>144365.21947000001</v>
      </c>
    </row>
    <row r="23" spans="4:18" ht="13.35" hidden="1" customHeight="1" x14ac:dyDescent="0.2">
      <c r="D23" s="219" t="s">
        <v>449</v>
      </c>
      <c r="E23" s="220">
        <v>2673592</v>
      </c>
      <c r="F23" s="122">
        <v>526078.22133099998</v>
      </c>
      <c r="G23" s="122">
        <v>120918.526677</v>
      </c>
      <c r="H23" s="122">
        <v>2811105</v>
      </c>
      <c r="I23" s="122">
        <v>545566.05838099995</v>
      </c>
      <c r="J23" s="122">
        <v>120030.16877800001</v>
      </c>
      <c r="K23" s="122">
        <v>2905407</v>
      </c>
      <c r="L23" s="122">
        <v>600547.11193999997</v>
      </c>
      <c r="M23" s="122">
        <v>131984.108721</v>
      </c>
      <c r="N23" s="122">
        <v>2819306</v>
      </c>
      <c r="O23" s="122">
        <v>632492.92115800001</v>
      </c>
      <c r="P23" s="123">
        <v>139433.743674</v>
      </c>
    </row>
    <row r="24" spans="4:18" ht="13.35" hidden="1" customHeight="1" x14ac:dyDescent="0.2">
      <c r="D24" s="730" t="s">
        <v>450</v>
      </c>
      <c r="E24" s="731">
        <v>41011</v>
      </c>
      <c r="F24" s="166">
        <v>12304.546795</v>
      </c>
      <c r="G24" s="166">
        <v>3659.82033</v>
      </c>
      <c r="H24" s="166">
        <v>48683</v>
      </c>
      <c r="I24" s="166">
        <v>13992.701354000001</v>
      </c>
      <c r="J24" s="166">
        <v>3950.9910199999999</v>
      </c>
      <c r="K24" s="166">
        <v>54637</v>
      </c>
      <c r="L24" s="166">
        <v>15660.014975</v>
      </c>
      <c r="M24" s="166">
        <v>4290.940732</v>
      </c>
      <c r="N24" s="166">
        <v>62208</v>
      </c>
      <c r="O24" s="166">
        <v>18495.885593999999</v>
      </c>
      <c r="P24" s="167">
        <v>4931.4757650000001</v>
      </c>
    </row>
    <row r="25" spans="4:18" ht="13.35" hidden="1" customHeight="1" x14ac:dyDescent="0.2">
      <c r="D25" s="221" t="s">
        <v>231</v>
      </c>
      <c r="E25" s="222">
        <v>0</v>
      </c>
      <c r="F25" s="168">
        <v>0</v>
      </c>
      <c r="G25" s="168">
        <v>1.80000206455588E-5</v>
      </c>
      <c r="H25" s="168">
        <v>0</v>
      </c>
      <c r="I25" s="168">
        <v>0</v>
      </c>
      <c r="J25" s="168">
        <v>-4.7000008635222898E-5</v>
      </c>
      <c r="K25" s="168">
        <v>0</v>
      </c>
      <c r="L25" s="168">
        <v>0</v>
      </c>
      <c r="M25" s="168">
        <v>8.0000027082860504E-6</v>
      </c>
      <c r="N25" s="168">
        <v>0</v>
      </c>
      <c r="O25" s="168">
        <v>0</v>
      </c>
      <c r="P25" s="169">
        <v>3.1000003218650798E-5</v>
      </c>
    </row>
    <row r="26" spans="4:18" ht="13.35" customHeight="1" x14ac:dyDescent="0.2">
      <c r="G26" s="174"/>
    </row>
    <row r="27" spans="4:18" ht="13.35" customHeight="1" x14ac:dyDescent="0.2"/>
  </sheetData>
  <mergeCells count="1">
    <mergeCell ref="C3:D3"/>
  </mergeCells>
  <phoneticPr fontId="10" type="noConversion"/>
  <hyperlinks>
    <hyperlink ref="I12"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7" tint="0.79998168889431442"/>
    <pageSetUpPr fitToPage="1"/>
  </sheetPr>
  <dimension ref="B1:P62"/>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16.28515625" style="2" customWidth="1"/>
    <col min="5" max="7" width="9.28515625" style="2" customWidth="1"/>
    <col min="8" max="8" width="9.28515625" style="14" customWidth="1"/>
    <col min="9" max="16" width="9.28515625" style="6" customWidth="1"/>
    <col min="17" max="16384" width="9.140625" style="10"/>
  </cols>
  <sheetData>
    <row r="1" spans="2:16" s="69" customFormat="1" ht="15" customHeight="1" x14ac:dyDescent="0.2">
      <c r="B1" s="439" t="s">
        <v>385</v>
      </c>
      <c r="C1" s="51"/>
      <c r="D1" s="51"/>
      <c r="E1" s="70"/>
      <c r="F1" s="70"/>
      <c r="G1" s="70"/>
      <c r="H1" s="61"/>
      <c r="I1" s="4"/>
      <c r="J1" s="5"/>
      <c r="K1" s="4"/>
      <c r="L1" s="4"/>
      <c r="M1" s="4"/>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15" customHeight="1" x14ac:dyDescent="0.2">
      <c r="B3" s="470"/>
      <c r="C3" s="1028" t="s">
        <v>90</v>
      </c>
      <c r="D3" s="1030"/>
      <c r="E3" s="506" t="s">
        <v>200</v>
      </c>
      <c r="F3" s="506" t="s">
        <v>199</v>
      </c>
      <c r="G3" s="507" t="s">
        <v>8</v>
      </c>
      <c r="H3" s="506" t="s">
        <v>200</v>
      </c>
      <c r="I3" s="506" t="s">
        <v>199</v>
      </c>
      <c r="J3" s="507" t="s">
        <v>8</v>
      </c>
      <c r="K3" s="506" t="s">
        <v>200</v>
      </c>
      <c r="L3" s="506" t="s">
        <v>199</v>
      </c>
      <c r="M3" s="507" t="s">
        <v>8</v>
      </c>
      <c r="N3" s="506" t="s">
        <v>200</v>
      </c>
      <c r="O3" s="506" t="s">
        <v>199</v>
      </c>
      <c r="P3" s="507" t="s">
        <v>8</v>
      </c>
    </row>
    <row r="4" spans="2:16" ht="13.35" customHeight="1" x14ac:dyDescent="0.2">
      <c r="B4" s="48"/>
      <c r="C4" s="16" t="s">
        <v>18</v>
      </c>
      <c r="D4" s="338" t="s">
        <v>43</v>
      </c>
      <c r="E4" s="551">
        <f>A2.1.6!E36/A2.1.6!$G36</f>
        <v>0.32506939683752711</v>
      </c>
      <c r="F4" s="551">
        <f>A2.1.6!F36/A2.1.6!$G36</f>
        <v>0.67493060316247289</v>
      </c>
      <c r="G4" s="552">
        <f>A2.1.6!G36/A2.1.6!$G36</f>
        <v>1</v>
      </c>
      <c r="H4" s="551">
        <f>A2.1.6!H36/A2.1.6!$J36</f>
        <v>0.33109430311558674</v>
      </c>
      <c r="I4" s="551">
        <f>A2.1.6!I36/A2.1.6!$J36</f>
        <v>0.66890569688441326</v>
      </c>
      <c r="J4" s="552">
        <f>A2.1.6!J36/A2.1.6!$J36</f>
        <v>1</v>
      </c>
      <c r="K4" s="551">
        <f>A2.1.6!K36/A2.1.6!$M36</f>
        <v>0.33711912332367333</v>
      </c>
      <c r="L4" s="551">
        <f>A2.1.6!L36/A2.1.6!$M36</f>
        <v>0.66288087667632667</v>
      </c>
      <c r="M4" s="552">
        <f>A2.1.6!M36/A2.1.6!$M36</f>
        <v>1</v>
      </c>
      <c r="N4" s="551">
        <f>A2.1.6!N36/A2.1.6!$P36</f>
        <v>0.35417472104091402</v>
      </c>
      <c r="O4" s="551">
        <f>A2.1.6!O36/A2.1.6!$P36</f>
        <v>0.64582527895908604</v>
      </c>
      <c r="P4" s="552">
        <f>A2.1.6!P36/A2.1.6!$P36</f>
        <v>1</v>
      </c>
    </row>
    <row r="5" spans="2:16" s="50" customFormat="1" ht="13.35" customHeight="1" x14ac:dyDescent="0.2">
      <c r="B5" s="48"/>
      <c r="C5" s="16" t="s">
        <v>19</v>
      </c>
      <c r="D5" s="339" t="s">
        <v>129</v>
      </c>
      <c r="E5" s="551">
        <f>A2.1.6!E37/A2.1.6!$G37</f>
        <v>0.42161648261200629</v>
      </c>
      <c r="F5" s="551">
        <f>A2.1.6!F37/A2.1.6!$G37</f>
        <v>0.57838351738799365</v>
      </c>
      <c r="G5" s="552">
        <f>A2.1.6!G37/A2.1.6!$G37</f>
        <v>1</v>
      </c>
      <c r="H5" s="551">
        <f>A2.1.6!H37/A2.1.6!$J37</f>
        <v>0.41965589090319283</v>
      </c>
      <c r="I5" s="551">
        <f>A2.1.6!I37/A2.1.6!$J37</f>
        <v>0.58034410909680723</v>
      </c>
      <c r="J5" s="552">
        <f>A2.1.6!J37/A2.1.6!$J37</f>
        <v>1</v>
      </c>
      <c r="K5" s="551">
        <f>A2.1.6!K37/A2.1.6!$M37</f>
        <v>0.42318629081583381</v>
      </c>
      <c r="L5" s="551">
        <f>A2.1.6!L37/A2.1.6!$M37</f>
        <v>0.57681370918416619</v>
      </c>
      <c r="M5" s="552">
        <f>A2.1.6!M37/A2.1.6!$M37</f>
        <v>1</v>
      </c>
      <c r="N5" s="551">
        <f>A2.1.6!N37/A2.1.6!$P37</f>
        <v>0.44629702565897916</v>
      </c>
      <c r="O5" s="551">
        <f>A2.1.6!O37/A2.1.6!$P37</f>
        <v>0.55370297434102078</v>
      </c>
      <c r="P5" s="552">
        <f>A2.1.6!P37/A2.1.6!$P37</f>
        <v>1</v>
      </c>
    </row>
    <row r="6" spans="2:16" ht="13.35" customHeight="1" x14ac:dyDescent="0.2">
      <c r="B6" s="48"/>
      <c r="C6" s="16" t="s">
        <v>20</v>
      </c>
      <c r="D6" s="338" t="s">
        <v>44</v>
      </c>
      <c r="E6" s="551">
        <f>A2.1.6!E38/A2.1.6!$G38</f>
        <v>0.45732216385063185</v>
      </c>
      <c r="F6" s="551">
        <f>A2.1.6!F38/A2.1.6!$G38</f>
        <v>0.54267783614936815</v>
      </c>
      <c r="G6" s="552">
        <f>A2.1.6!G38/A2.1.6!$G38</f>
        <v>1</v>
      </c>
      <c r="H6" s="551">
        <f>A2.1.6!H38/A2.1.6!$J38</f>
        <v>0.45057158058565255</v>
      </c>
      <c r="I6" s="551">
        <f>A2.1.6!I38/A2.1.6!$J38</f>
        <v>0.54942841941434739</v>
      </c>
      <c r="J6" s="552">
        <f>A2.1.6!J38/A2.1.6!$J38</f>
        <v>1</v>
      </c>
      <c r="K6" s="551">
        <f>A2.1.6!K38/A2.1.6!$M38</f>
        <v>0.46785964116234663</v>
      </c>
      <c r="L6" s="551">
        <f>A2.1.6!L38/A2.1.6!$M38</f>
        <v>0.53214035883765343</v>
      </c>
      <c r="M6" s="552">
        <f>A2.1.6!M38/A2.1.6!$M38</f>
        <v>1</v>
      </c>
      <c r="N6" s="551">
        <f>A2.1.6!N38/A2.1.6!$P38</f>
        <v>0.49661019497016068</v>
      </c>
      <c r="O6" s="551">
        <f>A2.1.6!O38/A2.1.6!$P38</f>
        <v>0.50338980502983932</v>
      </c>
      <c r="P6" s="552">
        <f>A2.1.6!P38/A2.1.6!$P38</f>
        <v>1</v>
      </c>
    </row>
    <row r="7" spans="2:16" ht="13.35" customHeight="1" x14ac:dyDescent="0.2">
      <c r="B7" s="48"/>
      <c r="C7" s="16" t="s">
        <v>21</v>
      </c>
      <c r="D7" s="338" t="s">
        <v>45</v>
      </c>
      <c r="E7" s="551">
        <f>A2.1.6!E39/A2.1.6!$G39</f>
        <v>0.44245216158752659</v>
      </c>
      <c r="F7" s="551">
        <f>A2.1.6!F39/A2.1.6!$G39</f>
        <v>0.55754783841247346</v>
      </c>
      <c r="G7" s="552">
        <f>A2.1.6!G39/A2.1.6!$G39</f>
        <v>1</v>
      </c>
      <c r="H7" s="551">
        <f>A2.1.6!H39/A2.1.6!$J39</f>
        <v>0.43895245073174399</v>
      </c>
      <c r="I7" s="551">
        <f>A2.1.6!I39/A2.1.6!$J39</f>
        <v>0.56104754926825606</v>
      </c>
      <c r="J7" s="552">
        <f>A2.1.6!J39/A2.1.6!$J39</f>
        <v>1</v>
      </c>
      <c r="K7" s="551">
        <f>A2.1.6!K39/A2.1.6!$M39</f>
        <v>0.44545043005885016</v>
      </c>
      <c r="L7" s="551">
        <f>A2.1.6!L39/A2.1.6!$M39</f>
        <v>0.55454956994114979</v>
      </c>
      <c r="M7" s="552">
        <f>A2.1.6!M39/A2.1.6!$M39</f>
        <v>1</v>
      </c>
      <c r="N7" s="551">
        <f>A2.1.6!N39/A2.1.6!$P39</f>
        <v>0.45539854272466329</v>
      </c>
      <c r="O7" s="551">
        <f>A2.1.6!O39/A2.1.6!$P39</f>
        <v>0.54460145727533671</v>
      </c>
      <c r="P7" s="552">
        <f>A2.1.6!P39/A2.1.6!$P39</f>
        <v>1</v>
      </c>
    </row>
    <row r="8" spans="2:16" ht="13.35" customHeight="1" x14ac:dyDescent="0.2">
      <c r="B8" s="48"/>
      <c r="C8" s="16" t="s">
        <v>22</v>
      </c>
      <c r="D8" s="338" t="s">
        <v>46</v>
      </c>
      <c r="E8" s="551">
        <f>A2.1.6!E40/A2.1.6!$G40</f>
        <v>0.43684241661103179</v>
      </c>
      <c r="F8" s="551">
        <f>A2.1.6!F40/A2.1.6!$G40</f>
        <v>0.56315758338896826</v>
      </c>
      <c r="G8" s="552">
        <f>A2.1.6!G40/A2.1.6!$G40</f>
        <v>1</v>
      </c>
      <c r="H8" s="551">
        <f>A2.1.6!H40/A2.1.6!$J40</f>
        <v>0.42810519306495237</v>
      </c>
      <c r="I8" s="551">
        <f>A2.1.6!I40/A2.1.6!$J40</f>
        <v>0.57189480693504768</v>
      </c>
      <c r="J8" s="552">
        <f>A2.1.6!J40/A2.1.6!$J40</f>
        <v>1</v>
      </c>
      <c r="K8" s="551">
        <f>A2.1.6!K40/A2.1.6!$M40</f>
        <v>0.42967835917462827</v>
      </c>
      <c r="L8" s="551">
        <f>A2.1.6!L40/A2.1.6!$M40</f>
        <v>0.57032164082537173</v>
      </c>
      <c r="M8" s="552">
        <f>A2.1.6!M40/A2.1.6!$M40</f>
        <v>1</v>
      </c>
      <c r="N8" s="551">
        <f>A2.1.6!N40/A2.1.6!$P40</f>
        <v>0.44394324757845111</v>
      </c>
      <c r="O8" s="551">
        <f>A2.1.6!O40/A2.1.6!$P40</f>
        <v>0.55605675242154895</v>
      </c>
      <c r="P8" s="552">
        <f>A2.1.6!P40/A2.1.6!$P40</f>
        <v>1</v>
      </c>
    </row>
    <row r="9" spans="2:16" ht="13.35" customHeight="1" x14ac:dyDescent="0.2">
      <c r="B9" s="48"/>
      <c r="C9" s="16" t="s">
        <v>23</v>
      </c>
      <c r="D9" s="338" t="s">
        <v>47</v>
      </c>
      <c r="E9" s="551">
        <f>A2.1.6!E41/A2.1.6!$G41</f>
        <v>0.43820626599751866</v>
      </c>
      <c r="F9" s="551">
        <f>A2.1.6!F41/A2.1.6!$G41</f>
        <v>0.56179373400248134</v>
      </c>
      <c r="G9" s="552">
        <f>A2.1.6!G41/A2.1.6!$G41</f>
        <v>1</v>
      </c>
      <c r="H9" s="551">
        <f>A2.1.6!H41/A2.1.6!$J41</f>
        <v>0.42875078894325719</v>
      </c>
      <c r="I9" s="551">
        <f>A2.1.6!I41/A2.1.6!$J41</f>
        <v>0.57124921105674287</v>
      </c>
      <c r="J9" s="552">
        <f>A2.1.6!J41/A2.1.6!$J41</f>
        <v>1</v>
      </c>
      <c r="K9" s="551">
        <f>A2.1.6!K41/A2.1.6!$M41</f>
        <v>0.42597437901389784</v>
      </c>
      <c r="L9" s="551">
        <f>A2.1.6!L41/A2.1.6!$M41</f>
        <v>0.5740256209861021</v>
      </c>
      <c r="M9" s="552">
        <f>A2.1.6!M41/A2.1.6!$M41</f>
        <v>1</v>
      </c>
      <c r="N9" s="551">
        <f>A2.1.6!N41/A2.1.6!$P41</f>
        <v>0.42643649517077847</v>
      </c>
      <c r="O9" s="551">
        <f>A2.1.6!O41/A2.1.6!$P41</f>
        <v>0.57356350482922147</v>
      </c>
      <c r="P9" s="552">
        <f>A2.1.6!P41/A2.1.6!$P41</f>
        <v>1</v>
      </c>
    </row>
    <row r="10" spans="2:16" s="50" customFormat="1" ht="13.35" customHeight="1" x14ac:dyDescent="0.2">
      <c r="B10" s="48"/>
      <c r="C10" s="16" t="s">
        <v>24</v>
      </c>
      <c r="D10" s="338" t="s">
        <v>48</v>
      </c>
      <c r="E10" s="551">
        <f>A2.1.6!E42/A2.1.6!$G42</f>
        <v>0.46065674513052074</v>
      </c>
      <c r="F10" s="551">
        <f>A2.1.6!F42/A2.1.6!$G42</f>
        <v>0.53934325486947921</v>
      </c>
      <c r="G10" s="552">
        <f>A2.1.6!G42/A2.1.6!$G42</f>
        <v>1</v>
      </c>
      <c r="H10" s="551">
        <f>A2.1.6!H42/A2.1.6!$J42</f>
        <v>0.44056199631750848</v>
      </c>
      <c r="I10" s="551">
        <f>A2.1.6!I42/A2.1.6!$J42</f>
        <v>0.55943800368249152</v>
      </c>
      <c r="J10" s="552">
        <f>A2.1.6!J42/A2.1.6!$J42</f>
        <v>1</v>
      </c>
      <c r="K10" s="551">
        <f>A2.1.6!K42/A2.1.6!$M42</f>
        <v>0.43463936933756914</v>
      </c>
      <c r="L10" s="551">
        <f>A2.1.6!L42/A2.1.6!$M42</f>
        <v>0.56536063066243092</v>
      </c>
      <c r="M10" s="552">
        <f>A2.1.6!M42/A2.1.6!$M42</f>
        <v>1</v>
      </c>
      <c r="N10" s="551">
        <f>A2.1.6!N42/A2.1.6!$P42</f>
        <v>0.4420824661078922</v>
      </c>
      <c r="O10" s="551">
        <f>A2.1.6!O42/A2.1.6!$P42</f>
        <v>0.55791753389210774</v>
      </c>
      <c r="P10" s="552">
        <f>A2.1.6!P42/A2.1.6!$P42</f>
        <v>1</v>
      </c>
    </row>
    <row r="11" spans="2:16" s="1" customFormat="1" ht="13.35" customHeight="1" x14ac:dyDescent="0.2">
      <c r="B11" s="26"/>
      <c r="C11" s="16" t="s">
        <v>25</v>
      </c>
      <c r="D11" s="338" t="s">
        <v>49</v>
      </c>
      <c r="E11" s="551">
        <f>A2.1.6!E43/A2.1.6!$G43</f>
        <v>0.46274232972690033</v>
      </c>
      <c r="F11" s="551">
        <f>A2.1.6!F43/A2.1.6!$G43</f>
        <v>0.53725767027309967</v>
      </c>
      <c r="G11" s="552">
        <f>A2.1.6!G43/A2.1.6!$G43</f>
        <v>1</v>
      </c>
      <c r="H11" s="551">
        <f>A2.1.6!H43/A2.1.6!$J43</f>
        <v>0.46665280559421568</v>
      </c>
      <c r="I11" s="551">
        <f>A2.1.6!I43/A2.1.6!$J43</f>
        <v>0.53334719440578426</v>
      </c>
      <c r="J11" s="552">
        <f>A2.1.6!J43/A2.1.6!$J43</f>
        <v>1</v>
      </c>
      <c r="K11" s="551">
        <f>A2.1.6!K43/A2.1.6!$M43</f>
        <v>0.44330994349179875</v>
      </c>
      <c r="L11" s="551">
        <f>A2.1.6!L43/A2.1.6!$M43</f>
        <v>0.55669005650820125</v>
      </c>
      <c r="M11" s="552">
        <f>A2.1.6!M43/A2.1.6!$M43</f>
        <v>1</v>
      </c>
      <c r="N11" s="551">
        <f>A2.1.6!N43/A2.1.6!$P43</f>
        <v>0.43759301906597109</v>
      </c>
      <c r="O11" s="551">
        <f>A2.1.6!O43/A2.1.6!$P43</f>
        <v>0.56240698093402897</v>
      </c>
      <c r="P11" s="552">
        <f>A2.1.6!P43/A2.1.6!$P43</f>
        <v>1</v>
      </c>
    </row>
    <row r="12" spans="2:16" s="1" customFormat="1" ht="13.35" customHeight="1" x14ac:dyDescent="0.2">
      <c r="B12" s="26"/>
      <c r="C12" s="16" t="s">
        <v>26</v>
      </c>
      <c r="D12" s="338" t="s">
        <v>50</v>
      </c>
      <c r="E12" s="551">
        <f>A2.1.6!E44/A2.1.6!$G44</f>
        <v>0.45951689040039201</v>
      </c>
      <c r="F12" s="551">
        <f>A2.1.6!F44/A2.1.6!$G44</f>
        <v>0.54048310959960799</v>
      </c>
      <c r="G12" s="552">
        <f>A2.1.6!G44/A2.1.6!$G44</f>
        <v>1</v>
      </c>
      <c r="H12" s="551">
        <f>A2.1.6!H44/A2.1.6!$J44</f>
        <v>0.46644127603544255</v>
      </c>
      <c r="I12" s="551">
        <f>A2.1.6!I44/A2.1.6!$J44</f>
        <v>0.5335587239645575</v>
      </c>
      <c r="J12" s="552">
        <f>A2.1.6!J44/A2.1.6!$J44</f>
        <v>1</v>
      </c>
      <c r="K12" s="551">
        <f>A2.1.6!K44/A2.1.6!$M44</f>
        <v>0.46657452847499581</v>
      </c>
      <c r="L12" s="551">
        <f>A2.1.6!L44/A2.1.6!$M44</f>
        <v>0.53342547152500419</v>
      </c>
      <c r="M12" s="552">
        <f>A2.1.6!M44/A2.1.6!$M44</f>
        <v>1</v>
      </c>
      <c r="N12" s="551">
        <f>A2.1.6!N44/A2.1.6!$P44</f>
        <v>0.46253965671520375</v>
      </c>
      <c r="O12" s="551">
        <f>A2.1.6!O44/A2.1.6!$P44</f>
        <v>0.53746034328479619</v>
      </c>
      <c r="P12" s="552">
        <f>A2.1.6!P44/A2.1.6!$P44</f>
        <v>1</v>
      </c>
    </row>
    <row r="13" spans="2:16" s="1" customFormat="1" ht="13.35" customHeight="1" x14ac:dyDescent="0.2">
      <c r="B13" s="26"/>
      <c r="C13" s="27" t="s">
        <v>27</v>
      </c>
      <c r="D13" s="312" t="s">
        <v>51</v>
      </c>
      <c r="E13" s="551">
        <f>A2.1.6!E45/A2.1.6!$G45</f>
        <v>0.47133889527033834</v>
      </c>
      <c r="F13" s="551">
        <f>A2.1.6!F45/A2.1.6!$G45</f>
        <v>0.52866110472966166</v>
      </c>
      <c r="G13" s="552">
        <f>A2.1.6!G45/A2.1.6!$G45</f>
        <v>1</v>
      </c>
      <c r="H13" s="551">
        <f>A2.1.6!H45/A2.1.6!$J45</f>
        <v>0.46141066582984142</v>
      </c>
      <c r="I13" s="551">
        <f>A2.1.6!I45/A2.1.6!$J45</f>
        <v>0.53858933417015853</v>
      </c>
      <c r="J13" s="552">
        <f>A2.1.6!J45/A2.1.6!$J45</f>
        <v>1</v>
      </c>
      <c r="K13" s="551">
        <f>A2.1.6!K45/A2.1.6!$M45</f>
        <v>0.46308339958554356</v>
      </c>
      <c r="L13" s="551">
        <f>A2.1.6!L45/A2.1.6!$M45</f>
        <v>0.53691660041445644</v>
      </c>
      <c r="M13" s="552">
        <f>A2.1.6!M45/A2.1.6!$M45</f>
        <v>1</v>
      </c>
      <c r="N13" s="551">
        <f>A2.1.6!N45/A2.1.6!$P45</f>
        <v>0.46899154449167746</v>
      </c>
      <c r="O13" s="551">
        <f>A2.1.6!O45/A2.1.6!$P45</f>
        <v>0.53100845550832254</v>
      </c>
      <c r="P13" s="552">
        <f>A2.1.6!P45/A2.1.6!$P45</f>
        <v>1</v>
      </c>
    </row>
    <row r="14" spans="2:16" s="1" customFormat="1" ht="13.35" customHeight="1" x14ac:dyDescent="0.2">
      <c r="B14" s="26"/>
      <c r="C14" s="27" t="s">
        <v>28</v>
      </c>
      <c r="D14" s="312" t="s">
        <v>52</v>
      </c>
      <c r="E14" s="551">
        <f>A2.1.6!E46/A2.1.6!$G46</f>
        <v>0.47946281628655102</v>
      </c>
      <c r="F14" s="551">
        <f>A2.1.6!F46/A2.1.6!$G46</f>
        <v>0.52053718371344904</v>
      </c>
      <c r="G14" s="552">
        <f>A2.1.6!G46/A2.1.6!$G46</f>
        <v>1</v>
      </c>
      <c r="H14" s="551">
        <f>A2.1.6!H46/A2.1.6!$J46</f>
        <v>0.47616078721357907</v>
      </c>
      <c r="I14" s="551">
        <f>A2.1.6!I46/A2.1.6!$J46</f>
        <v>0.52383921278642098</v>
      </c>
      <c r="J14" s="552">
        <f>A2.1.6!J46/A2.1.6!$J46</f>
        <v>1</v>
      </c>
      <c r="K14" s="551">
        <f>A2.1.6!K46/A2.1.6!$M46</f>
        <v>0.46096606833453591</v>
      </c>
      <c r="L14" s="551">
        <f>A2.1.6!L46/A2.1.6!$M46</f>
        <v>0.53903393166546409</v>
      </c>
      <c r="M14" s="552">
        <f>A2.1.6!M46/A2.1.6!$M46</f>
        <v>1</v>
      </c>
      <c r="N14" s="551">
        <f>A2.1.6!N46/A2.1.6!$P46</f>
        <v>0.46745000023057309</v>
      </c>
      <c r="O14" s="551">
        <f>A2.1.6!O46/A2.1.6!$P46</f>
        <v>0.53254999976942696</v>
      </c>
      <c r="P14" s="552">
        <f>A2.1.6!P46/A2.1.6!$P46</f>
        <v>1</v>
      </c>
    </row>
    <row r="15" spans="2:16" customFormat="1" ht="13.35" customHeight="1" x14ac:dyDescent="0.2">
      <c r="B15" s="26"/>
      <c r="C15" s="27" t="s">
        <v>29</v>
      </c>
      <c r="D15" s="312" t="s">
        <v>53</v>
      </c>
      <c r="E15" s="551">
        <f>A2.1.6!E47/A2.1.6!$G47</f>
        <v>0.48505729694890193</v>
      </c>
      <c r="F15" s="551">
        <f>A2.1.6!F47/A2.1.6!$G47</f>
        <v>0.51494270305109813</v>
      </c>
      <c r="G15" s="552">
        <f>A2.1.6!G47/A2.1.6!$G47</f>
        <v>1</v>
      </c>
      <c r="H15" s="551">
        <f>A2.1.6!H47/A2.1.6!$J47</f>
        <v>0.47002906904519365</v>
      </c>
      <c r="I15" s="551">
        <f>A2.1.6!I47/A2.1.6!$J47</f>
        <v>0.5299709309548063</v>
      </c>
      <c r="J15" s="552">
        <f>A2.1.6!J47/A2.1.6!$J47</f>
        <v>1</v>
      </c>
      <c r="K15" s="551">
        <f>A2.1.6!K47/A2.1.6!$M47</f>
        <v>0.48225598816052223</v>
      </c>
      <c r="L15" s="551">
        <f>A2.1.6!L47/A2.1.6!$M47</f>
        <v>0.51774401183947771</v>
      </c>
      <c r="M15" s="552">
        <f>A2.1.6!M47/A2.1.6!$M47</f>
        <v>1</v>
      </c>
      <c r="N15" s="551">
        <f>A2.1.6!N47/A2.1.6!$P47</f>
        <v>0.46372215145449347</v>
      </c>
      <c r="O15" s="551">
        <f>A2.1.6!O47/A2.1.6!$P47</f>
        <v>0.53627784854550653</v>
      </c>
      <c r="P15" s="552">
        <f>A2.1.6!P47/A2.1.6!$P47</f>
        <v>1</v>
      </c>
    </row>
    <row r="16" spans="2:16" customFormat="1" ht="13.35" customHeight="1" x14ac:dyDescent="0.2">
      <c r="B16" s="26"/>
      <c r="C16" s="27" t="s">
        <v>30</v>
      </c>
      <c r="D16" s="312" t="s">
        <v>54</v>
      </c>
      <c r="E16" s="551">
        <f>A2.1.6!E48/A2.1.6!$G48</f>
        <v>0.48472017954107105</v>
      </c>
      <c r="F16" s="551">
        <f>A2.1.6!F48/A2.1.6!$G48</f>
        <v>0.51527982045892895</v>
      </c>
      <c r="G16" s="552">
        <f>A2.1.6!G48/A2.1.6!$G48</f>
        <v>1</v>
      </c>
      <c r="H16" s="551">
        <f>A2.1.6!H48/A2.1.6!$J48</f>
        <v>0.47252512598582125</v>
      </c>
      <c r="I16" s="551">
        <f>A2.1.6!I48/A2.1.6!$J48</f>
        <v>0.5274748740141787</v>
      </c>
      <c r="J16" s="552">
        <f>A2.1.6!J48/A2.1.6!$J48</f>
        <v>1</v>
      </c>
      <c r="K16" s="551">
        <f>A2.1.6!K48/A2.1.6!$M48</f>
        <v>0.47742293893783716</v>
      </c>
      <c r="L16" s="551">
        <f>A2.1.6!L48/A2.1.6!$M48</f>
        <v>0.52257706106216284</v>
      </c>
      <c r="M16" s="552">
        <f>A2.1.6!M48/A2.1.6!$M48</f>
        <v>1</v>
      </c>
      <c r="N16" s="551">
        <f>A2.1.6!N48/A2.1.6!$P48</f>
        <v>0.48220374019447293</v>
      </c>
      <c r="O16" s="551">
        <f>A2.1.6!O48/A2.1.6!$P48</f>
        <v>0.51779625980552701</v>
      </c>
      <c r="P16" s="552">
        <f>A2.1.6!P48/A2.1.6!$P48</f>
        <v>1</v>
      </c>
    </row>
    <row r="17" spans="2:16" customFormat="1" ht="13.35" customHeight="1" x14ac:dyDescent="0.2">
      <c r="B17" s="26"/>
      <c r="C17" s="27" t="s">
        <v>31</v>
      </c>
      <c r="D17" s="312" t="s">
        <v>55</v>
      </c>
      <c r="E17" s="551">
        <f>A2.1.6!E49/A2.1.6!$G49</f>
        <v>0.51840148787072227</v>
      </c>
      <c r="F17" s="551">
        <f>A2.1.6!F49/A2.1.6!$G49</f>
        <v>0.48159851212927773</v>
      </c>
      <c r="G17" s="552">
        <f>A2.1.6!G49/A2.1.6!$G49</f>
        <v>1</v>
      </c>
      <c r="H17" s="551">
        <f>A2.1.6!H49/A2.1.6!$J49</f>
        <v>0.47501515360974933</v>
      </c>
      <c r="I17" s="551">
        <f>A2.1.6!I49/A2.1.6!$J49</f>
        <v>0.52498484639025067</v>
      </c>
      <c r="J17" s="552">
        <f>A2.1.6!J49/A2.1.6!$J49</f>
        <v>1</v>
      </c>
      <c r="K17" s="551">
        <f>A2.1.6!K49/A2.1.6!$M49</f>
        <v>0.47013158365764723</v>
      </c>
      <c r="L17" s="551">
        <f>A2.1.6!L49/A2.1.6!$M49</f>
        <v>0.52986841634235271</v>
      </c>
      <c r="M17" s="552">
        <f>A2.1.6!M49/A2.1.6!$M49</f>
        <v>1</v>
      </c>
      <c r="N17" s="551">
        <f>A2.1.6!N49/A2.1.6!$P49</f>
        <v>0.46676874411091668</v>
      </c>
      <c r="O17" s="551">
        <f>A2.1.6!O49/A2.1.6!$P49</f>
        <v>0.53323125588908338</v>
      </c>
      <c r="P17" s="552">
        <f>A2.1.6!P49/A2.1.6!$P49</f>
        <v>1</v>
      </c>
    </row>
    <row r="18" spans="2:16" customFormat="1" ht="13.35" customHeight="1" x14ac:dyDescent="0.2">
      <c r="B18" s="26"/>
      <c r="C18" s="27" t="s">
        <v>32</v>
      </c>
      <c r="D18" s="312" t="s">
        <v>56</v>
      </c>
      <c r="E18" s="551">
        <f>A2.1.6!E50/A2.1.6!$G50</f>
        <v>0.53343278384572312</v>
      </c>
      <c r="F18" s="551">
        <f>A2.1.6!F50/A2.1.6!$G50</f>
        <v>0.46656721615427693</v>
      </c>
      <c r="G18" s="552">
        <f>A2.1.6!G50/A2.1.6!$G50</f>
        <v>1</v>
      </c>
      <c r="H18" s="551">
        <f>A2.1.6!H50/A2.1.6!$J50</f>
        <v>0.4869584641114344</v>
      </c>
      <c r="I18" s="551">
        <f>A2.1.6!I50/A2.1.6!$J50</f>
        <v>0.5130415358885656</v>
      </c>
      <c r="J18" s="552">
        <f>A2.1.6!J50/A2.1.6!$J50</f>
        <v>1</v>
      </c>
      <c r="K18" s="551">
        <f>A2.1.6!K50/A2.1.6!$M50</f>
        <v>0.46777280005355859</v>
      </c>
      <c r="L18" s="551">
        <f>A2.1.6!L50/A2.1.6!$M50</f>
        <v>0.53222719994644141</v>
      </c>
      <c r="M18" s="552">
        <f>A2.1.6!M50/A2.1.6!$M50</f>
        <v>1</v>
      </c>
      <c r="N18" s="551">
        <f>A2.1.6!N50/A2.1.6!$P50</f>
        <v>0.45675457970637912</v>
      </c>
      <c r="O18" s="551">
        <f>A2.1.6!O50/A2.1.6!$P50</f>
        <v>0.54324542029362088</v>
      </c>
      <c r="P18" s="552">
        <f>A2.1.6!P50/A2.1.6!$P50</f>
        <v>1</v>
      </c>
    </row>
    <row r="19" spans="2:16" customFormat="1" ht="13.35" customHeight="1" x14ac:dyDescent="0.2">
      <c r="B19" s="26"/>
      <c r="C19" s="27" t="s">
        <v>33</v>
      </c>
      <c r="D19" s="312" t="s">
        <v>57</v>
      </c>
      <c r="E19" s="551">
        <f>A2.1.6!E51/A2.1.6!$G51</f>
        <v>0.47028952817202807</v>
      </c>
      <c r="F19" s="551">
        <f>A2.1.6!F51/A2.1.6!$G51</f>
        <v>0.52971047182797193</v>
      </c>
      <c r="G19" s="552">
        <f>A2.1.6!G51/A2.1.6!$G51</f>
        <v>1</v>
      </c>
      <c r="H19" s="551">
        <f>A2.1.6!H51/A2.1.6!$J51</f>
        <v>0.52561290956106188</v>
      </c>
      <c r="I19" s="551">
        <f>A2.1.6!I51/A2.1.6!$J51</f>
        <v>0.47438709043893817</v>
      </c>
      <c r="J19" s="552">
        <f>A2.1.6!J51/A2.1.6!$J51</f>
        <v>1</v>
      </c>
      <c r="K19" s="551">
        <f>A2.1.6!K51/A2.1.6!$M51</f>
        <v>0.47887868478028123</v>
      </c>
      <c r="L19" s="551">
        <f>A2.1.6!L51/A2.1.6!$M51</f>
        <v>0.52112131521971883</v>
      </c>
      <c r="M19" s="552">
        <f>A2.1.6!M51/A2.1.6!$M51</f>
        <v>1</v>
      </c>
      <c r="N19" s="551">
        <f>A2.1.6!N51/A2.1.6!$P51</f>
        <v>0.45353927037860858</v>
      </c>
      <c r="O19" s="551">
        <f>A2.1.6!O51/A2.1.6!$P51</f>
        <v>0.54646072962139147</v>
      </c>
      <c r="P19" s="552">
        <f>A2.1.6!P51/A2.1.6!$P51</f>
        <v>1</v>
      </c>
    </row>
    <row r="20" spans="2:16" customFormat="1" ht="13.35" customHeight="1" x14ac:dyDescent="0.2">
      <c r="B20" s="26"/>
      <c r="C20" s="27" t="s">
        <v>34</v>
      </c>
      <c r="D20" s="527" t="s">
        <v>58</v>
      </c>
      <c r="E20" s="551">
        <f>A2.1.6!E52/A2.1.6!$G52</f>
        <v>0.44091249065071053</v>
      </c>
      <c r="F20" s="551">
        <f>A2.1.6!F52/A2.1.6!$G52</f>
        <v>0.55908750934928941</v>
      </c>
      <c r="G20" s="552">
        <f>A2.1.6!G52/A2.1.6!$G52</f>
        <v>1</v>
      </c>
      <c r="H20" s="551">
        <f>A2.1.6!H52/A2.1.6!$J52</f>
        <v>0.48030021607504575</v>
      </c>
      <c r="I20" s="551">
        <f>A2.1.6!I52/A2.1.6!$J52</f>
        <v>0.51969978392495431</v>
      </c>
      <c r="J20" s="552">
        <f>A2.1.6!J52/A2.1.6!$J52</f>
        <v>1</v>
      </c>
      <c r="K20" s="551">
        <f>A2.1.6!K52/A2.1.6!$M52</f>
        <v>0.49261410656732441</v>
      </c>
      <c r="L20" s="551">
        <f>A2.1.6!L52/A2.1.6!$M52</f>
        <v>0.50738589343267559</v>
      </c>
      <c r="M20" s="552">
        <f>A2.1.6!M52/A2.1.6!$M52</f>
        <v>1</v>
      </c>
      <c r="N20" s="551">
        <f>A2.1.6!N52/A2.1.6!$P52</f>
        <v>0.50916945224497734</v>
      </c>
      <c r="O20" s="551">
        <f>A2.1.6!O52/A2.1.6!$P52</f>
        <v>0.49083054775502261</v>
      </c>
      <c r="P20" s="552">
        <f>A2.1.6!P52/A2.1.6!$P52</f>
        <v>1</v>
      </c>
    </row>
    <row r="21" spans="2:16" customFormat="1" ht="13.35" customHeight="1" x14ac:dyDescent="0.2">
      <c r="B21" s="26"/>
      <c r="C21" s="27" t="s">
        <v>35</v>
      </c>
      <c r="D21" s="312" t="s">
        <v>59</v>
      </c>
      <c r="E21" s="551">
        <f>A2.1.6!E53/A2.1.6!$G53</f>
        <v>0.37988470873786406</v>
      </c>
      <c r="F21" s="551">
        <f>A2.1.6!F53/A2.1.6!$G53</f>
        <v>0.62011529126213594</v>
      </c>
      <c r="G21" s="552">
        <f>A2.1.6!G53/A2.1.6!$G53</f>
        <v>1</v>
      </c>
      <c r="H21" s="551">
        <f>A2.1.6!H53/A2.1.6!$J53</f>
        <v>0.40807702518650707</v>
      </c>
      <c r="I21" s="551">
        <f>A2.1.6!I53/A2.1.6!$J53</f>
        <v>0.59192297481349287</v>
      </c>
      <c r="J21" s="552">
        <f>A2.1.6!J53/A2.1.6!$J53</f>
        <v>1</v>
      </c>
      <c r="K21" s="551">
        <f>A2.1.6!K53/A2.1.6!$M53</f>
        <v>0.4345241278866448</v>
      </c>
      <c r="L21" s="551">
        <f>A2.1.6!L53/A2.1.6!$M53</f>
        <v>0.56547587211335515</v>
      </c>
      <c r="M21" s="552">
        <f>A2.1.6!M53/A2.1.6!$M53</f>
        <v>1</v>
      </c>
      <c r="N21" s="551">
        <f>A2.1.6!N53/A2.1.6!$P53</f>
        <v>0.44709204262921826</v>
      </c>
      <c r="O21" s="551">
        <f>A2.1.6!O53/A2.1.6!$P53</f>
        <v>0.55290795737078169</v>
      </c>
      <c r="P21" s="552">
        <f>A2.1.6!P53/A2.1.6!$P53</f>
        <v>1</v>
      </c>
    </row>
    <row r="22" spans="2:16" customFormat="1" ht="13.35" customHeight="1" x14ac:dyDescent="0.2">
      <c r="B22" s="26"/>
      <c r="C22" s="27" t="s">
        <v>36</v>
      </c>
      <c r="D22" s="312" t="s">
        <v>60</v>
      </c>
      <c r="E22" s="551">
        <f>A2.1.6!E54/A2.1.6!$G54</f>
        <v>0.30021896968998502</v>
      </c>
      <c r="F22" s="551">
        <f>A2.1.6!F54/A2.1.6!$G54</f>
        <v>0.69978103031001493</v>
      </c>
      <c r="G22" s="552">
        <f>A2.1.6!G54/A2.1.6!$G54</f>
        <v>1</v>
      </c>
      <c r="H22" s="551">
        <f>A2.1.6!H54/A2.1.6!$J54</f>
        <v>0.31213003273292761</v>
      </c>
      <c r="I22" s="551">
        <f>A2.1.6!I54/A2.1.6!$J54</f>
        <v>0.68786996726707239</v>
      </c>
      <c r="J22" s="552">
        <f>A2.1.6!J54/A2.1.6!$J54</f>
        <v>1</v>
      </c>
      <c r="K22" s="551">
        <f>A2.1.6!K54/A2.1.6!$M54</f>
        <v>0.33903422754362006</v>
      </c>
      <c r="L22" s="551">
        <f>A2.1.6!L54/A2.1.6!$M54</f>
        <v>0.66096577245637989</v>
      </c>
      <c r="M22" s="552">
        <f>A2.1.6!M54/A2.1.6!$M54</f>
        <v>1</v>
      </c>
      <c r="N22" s="551">
        <f>A2.1.6!N54/A2.1.6!$P54</f>
        <v>0.3611580708260681</v>
      </c>
      <c r="O22" s="551">
        <f>A2.1.6!O54/A2.1.6!$P54</f>
        <v>0.6388419291739319</v>
      </c>
      <c r="P22" s="552">
        <f>A2.1.6!P54/A2.1.6!$P54</f>
        <v>1</v>
      </c>
    </row>
    <row r="23" spans="2:16" customFormat="1" ht="13.35" customHeight="1" x14ac:dyDescent="0.2">
      <c r="B23" s="26"/>
      <c r="C23" s="27" t="s">
        <v>37</v>
      </c>
      <c r="D23" s="312" t="s">
        <v>61</v>
      </c>
      <c r="E23" s="551">
        <f>A2.1.6!E55/A2.1.6!$G55</f>
        <v>0.26383818450912677</v>
      </c>
      <c r="F23" s="551">
        <f>A2.1.6!F55/A2.1.6!$G55</f>
        <v>0.73616181549087323</v>
      </c>
      <c r="G23" s="552">
        <f>A2.1.6!G55/A2.1.6!$G55</f>
        <v>1</v>
      </c>
      <c r="H23" s="551">
        <f>A2.1.6!H55/A2.1.6!$J55</f>
        <v>0.26750367686623383</v>
      </c>
      <c r="I23" s="551">
        <f>A2.1.6!I55/A2.1.6!$J55</f>
        <v>0.73249632313376623</v>
      </c>
      <c r="J23" s="552">
        <f>A2.1.6!J55/A2.1.6!$J55</f>
        <v>1</v>
      </c>
      <c r="K23" s="551">
        <f>A2.1.6!K55/A2.1.6!$M55</f>
        <v>0.28052963818321786</v>
      </c>
      <c r="L23" s="551">
        <f>A2.1.6!L55/A2.1.6!$M55</f>
        <v>0.71947036181678214</v>
      </c>
      <c r="M23" s="552">
        <f>A2.1.6!M55/A2.1.6!$M55</f>
        <v>1</v>
      </c>
      <c r="N23" s="551">
        <f>A2.1.6!N55/A2.1.6!$P55</f>
        <v>0.29965805116608396</v>
      </c>
      <c r="O23" s="551">
        <f>A2.1.6!O55/A2.1.6!$P55</f>
        <v>0.70034194883391609</v>
      </c>
      <c r="P23" s="552">
        <f>A2.1.6!P55/A2.1.6!$P55</f>
        <v>1</v>
      </c>
    </row>
    <row r="24" spans="2:16" customFormat="1" ht="13.35" customHeight="1" x14ac:dyDescent="0.2">
      <c r="B24" s="26"/>
      <c r="C24" s="27" t="s">
        <v>38</v>
      </c>
      <c r="D24" s="312" t="s">
        <v>62</v>
      </c>
      <c r="E24" s="551">
        <f>A2.1.6!E56/A2.1.6!$G56</f>
        <v>0.22328838560679432</v>
      </c>
      <c r="F24" s="551">
        <f>A2.1.6!F56/A2.1.6!$G56</f>
        <v>0.77671161439320568</v>
      </c>
      <c r="G24" s="552">
        <f>A2.1.6!G56/A2.1.6!$G56</f>
        <v>1</v>
      </c>
      <c r="H24" s="551">
        <f>A2.1.6!H56/A2.1.6!$J56</f>
        <v>0.2351287115455428</v>
      </c>
      <c r="I24" s="551">
        <f>A2.1.6!I56/A2.1.6!$J56</f>
        <v>0.76487128845445718</v>
      </c>
      <c r="J24" s="552">
        <f>A2.1.6!J56/A2.1.6!$J56</f>
        <v>1</v>
      </c>
      <c r="K24" s="551">
        <f>A2.1.6!K56/A2.1.6!$M56</f>
        <v>0.25419387156819773</v>
      </c>
      <c r="L24" s="551">
        <f>A2.1.6!L56/A2.1.6!$M56</f>
        <v>0.74580612843180227</v>
      </c>
      <c r="M24" s="552">
        <f>A2.1.6!M56/A2.1.6!$M56</f>
        <v>1</v>
      </c>
      <c r="N24" s="551">
        <f>A2.1.6!N56/A2.1.6!$P56</f>
        <v>0.26511192694325419</v>
      </c>
      <c r="O24" s="551">
        <f>A2.1.6!O56/A2.1.6!$P56</f>
        <v>0.73488807305674575</v>
      </c>
      <c r="P24" s="552">
        <f>A2.1.6!P56/A2.1.6!$P56</f>
        <v>1</v>
      </c>
    </row>
    <row r="25" spans="2:16" customFormat="1" ht="13.35" customHeight="1" x14ac:dyDescent="0.2">
      <c r="B25" s="26"/>
      <c r="C25" s="27" t="s">
        <v>39</v>
      </c>
      <c r="D25" s="312" t="s">
        <v>63</v>
      </c>
      <c r="E25" s="551">
        <f>A2.1.6!E57/A2.1.6!$G57</f>
        <v>0.17504968659226419</v>
      </c>
      <c r="F25" s="551">
        <f>A2.1.6!F57/A2.1.6!$G57</f>
        <v>0.82495031340773584</v>
      </c>
      <c r="G25" s="552">
        <f>A2.1.6!G57/A2.1.6!$G57</f>
        <v>1</v>
      </c>
      <c r="H25" s="551">
        <f>A2.1.6!H57/A2.1.6!$J57</f>
        <v>0.17852106834771067</v>
      </c>
      <c r="I25" s="551">
        <f>A2.1.6!I57/A2.1.6!$J57</f>
        <v>0.82147893165228936</v>
      </c>
      <c r="J25" s="552">
        <f>A2.1.6!J57/A2.1.6!$J57</f>
        <v>1</v>
      </c>
      <c r="K25" s="551">
        <f>A2.1.6!K57/A2.1.6!$M57</f>
        <v>0.1995880535530381</v>
      </c>
      <c r="L25" s="551">
        <f>A2.1.6!L57/A2.1.6!$M57</f>
        <v>0.8004119464469619</v>
      </c>
      <c r="M25" s="552">
        <f>A2.1.6!M57/A2.1.6!$M57</f>
        <v>1</v>
      </c>
      <c r="N25" s="551">
        <f>A2.1.6!N57/A2.1.6!$P57</f>
        <v>0.21494858289440683</v>
      </c>
      <c r="O25" s="551">
        <f>A2.1.6!O57/A2.1.6!$P57</f>
        <v>0.78505141710559323</v>
      </c>
      <c r="P25" s="552">
        <f>A2.1.6!P57/A2.1.6!$P57</f>
        <v>1</v>
      </c>
    </row>
    <row r="26" spans="2:16" customFormat="1" ht="13.35" customHeight="1" x14ac:dyDescent="0.2">
      <c r="B26" s="26"/>
      <c r="C26" s="27" t="s">
        <v>40</v>
      </c>
      <c r="D26" s="312" t="s">
        <v>64</v>
      </c>
      <c r="E26" s="551">
        <f>A2.1.6!E58/A2.1.6!$G58</f>
        <v>0.141265158964274</v>
      </c>
      <c r="F26" s="551">
        <f>A2.1.6!F58/A2.1.6!$G58</f>
        <v>0.85873484103572595</v>
      </c>
      <c r="G26" s="552">
        <f>A2.1.6!G58/A2.1.6!$G58</f>
        <v>1</v>
      </c>
      <c r="H26" s="551">
        <f>A2.1.6!H58/A2.1.6!$J58</f>
        <v>0.13690110201958094</v>
      </c>
      <c r="I26" s="551">
        <f>A2.1.6!I58/A2.1.6!$J58</f>
        <v>0.86309889798041906</v>
      </c>
      <c r="J26" s="552">
        <f>A2.1.6!J58/A2.1.6!$J58</f>
        <v>1</v>
      </c>
      <c r="K26" s="551">
        <f>A2.1.6!K58/A2.1.6!$M58</f>
        <v>0.1531238996909354</v>
      </c>
      <c r="L26" s="551">
        <f>A2.1.6!L58/A2.1.6!$M58</f>
        <v>0.84687610030906457</v>
      </c>
      <c r="M26" s="552">
        <f>A2.1.6!M58/A2.1.6!$M58</f>
        <v>1</v>
      </c>
      <c r="N26" s="551">
        <f>A2.1.6!N58/A2.1.6!$P58</f>
        <v>0.16686152470685328</v>
      </c>
      <c r="O26" s="551">
        <f>A2.1.6!O58/A2.1.6!$P58</f>
        <v>0.83313847529314677</v>
      </c>
      <c r="P26" s="552">
        <f>A2.1.6!P58/A2.1.6!$P58</f>
        <v>1</v>
      </c>
    </row>
    <row r="27" spans="2:16" customFormat="1" ht="13.35" customHeight="1" x14ac:dyDescent="0.2">
      <c r="B27" s="26"/>
      <c r="C27" s="27" t="s">
        <v>41</v>
      </c>
      <c r="D27" s="312" t="s">
        <v>65</v>
      </c>
      <c r="E27" s="551">
        <f>A2.1.6!E59/A2.1.6!$G59</f>
        <v>9.5835086243163656E-2</v>
      </c>
      <c r="F27" s="551">
        <f>A2.1.6!F59/A2.1.6!$G59</f>
        <v>0.90416491375683639</v>
      </c>
      <c r="G27" s="552">
        <f>A2.1.6!G59/A2.1.6!$G59</f>
        <v>1</v>
      </c>
      <c r="H27" s="551">
        <f>A2.1.6!H59/A2.1.6!$J59</f>
        <v>9.6682883679787709E-2</v>
      </c>
      <c r="I27" s="551">
        <f>A2.1.6!I59/A2.1.6!$J59</f>
        <v>0.90331711632021228</v>
      </c>
      <c r="J27" s="552">
        <f>A2.1.6!J59/A2.1.6!$J59</f>
        <v>1</v>
      </c>
      <c r="K27" s="551">
        <f>A2.1.6!K59/A2.1.6!$M59</f>
        <v>0.10484771762603322</v>
      </c>
      <c r="L27" s="551">
        <f>A2.1.6!L59/A2.1.6!$M59</f>
        <v>0.89515228237396682</v>
      </c>
      <c r="M27" s="552">
        <f>A2.1.6!M59/A2.1.6!$M59</f>
        <v>1</v>
      </c>
      <c r="N27" s="551">
        <f>A2.1.6!N59/A2.1.6!$P59</f>
        <v>0.10947511929107021</v>
      </c>
      <c r="O27" s="551">
        <f>A2.1.6!O59/A2.1.6!$P59</f>
        <v>0.89052488070892977</v>
      </c>
      <c r="P27" s="552">
        <f>A2.1.6!P59/A2.1.6!$P59</f>
        <v>1</v>
      </c>
    </row>
    <row r="28" spans="2:16" customFormat="1" ht="13.35" customHeight="1" x14ac:dyDescent="0.2">
      <c r="B28" s="525"/>
      <c r="C28" s="500" t="s">
        <v>42</v>
      </c>
      <c r="D28" s="528" t="s">
        <v>66</v>
      </c>
      <c r="E28" s="553">
        <f>A2.1.6!E60/A2.1.6!$G60</f>
        <v>7.1235347159603252E-2</v>
      </c>
      <c r="F28" s="553">
        <f>A2.1.6!F60/A2.1.6!$G60</f>
        <v>0.92876465284039678</v>
      </c>
      <c r="G28" s="554">
        <f>A2.1.6!G60/A2.1.6!$G60</f>
        <v>1</v>
      </c>
      <c r="H28" s="553">
        <f>A2.1.6!H60/A2.1.6!$J60</f>
        <v>7.0701660417782544E-2</v>
      </c>
      <c r="I28" s="553">
        <f>A2.1.6!I60/A2.1.6!$J60</f>
        <v>0.92929833958221741</v>
      </c>
      <c r="J28" s="554">
        <f>A2.1.6!J60/A2.1.6!$J60</f>
        <v>1</v>
      </c>
      <c r="K28" s="553">
        <f>A2.1.6!K60/A2.1.6!$M60</f>
        <v>7.3215097771714421E-2</v>
      </c>
      <c r="L28" s="553">
        <f>A2.1.6!L60/A2.1.6!$M60</f>
        <v>0.92678490222828558</v>
      </c>
      <c r="M28" s="554">
        <f>A2.1.6!M60/A2.1.6!$M60</f>
        <v>1</v>
      </c>
      <c r="N28" s="553">
        <f>A2.1.6!N60/A2.1.6!$P60</f>
        <v>8.5860575029539185E-2</v>
      </c>
      <c r="O28" s="553">
        <f>A2.1.6!O60/A2.1.6!$P60</f>
        <v>0.91413942497046086</v>
      </c>
      <c r="P28" s="554">
        <f>A2.1.6!P60/A2.1.6!$P60</f>
        <v>1</v>
      </c>
    </row>
    <row r="29" spans="2:16" customFormat="1" ht="13.35" customHeight="1" x14ac:dyDescent="0.2">
      <c r="B29" s="525"/>
      <c r="C29" s="501" t="s">
        <v>8</v>
      </c>
      <c r="D29" s="529"/>
      <c r="E29" s="555">
        <f>A2.1.6!E61/A2.1.6!$G61</f>
        <v>0.42398246953079427</v>
      </c>
      <c r="F29" s="555">
        <f>A2.1.6!F61/A2.1.6!$G61</f>
        <v>0.57601753046920567</v>
      </c>
      <c r="G29" s="556">
        <f>A2.1.6!G61/A2.1.6!$G61</f>
        <v>1</v>
      </c>
      <c r="H29" s="555">
        <f>A2.1.6!H61/A2.1.6!$J61</f>
        <v>0.42822056647148748</v>
      </c>
      <c r="I29" s="555">
        <f>A2.1.6!I61/A2.1.6!$J61</f>
        <v>0.57177943352851257</v>
      </c>
      <c r="J29" s="556">
        <f>A2.1.6!J61/A2.1.6!$J61</f>
        <v>1</v>
      </c>
      <c r="K29" s="555">
        <f>A2.1.6!K61/A2.1.6!$M61</f>
        <v>0.43069070039389462</v>
      </c>
      <c r="L29" s="555">
        <f>A2.1.6!L61/A2.1.6!$M61</f>
        <v>0.56930929960610532</v>
      </c>
      <c r="M29" s="556">
        <f>A2.1.6!M61/A2.1.6!$M61</f>
        <v>1</v>
      </c>
      <c r="N29" s="555">
        <f>A2.1.6!N61/A2.1.6!$P61</f>
        <v>0.43590500541579463</v>
      </c>
      <c r="O29" s="555">
        <f>A2.1.6!O61/A2.1.6!$P61</f>
        <v>0.56409499458420542</v>
      </c>
      <c r="P29" s="556">
        <f>A2.1.6!P61/A2.1.6!$P61</f>
        <v>1</v>
      </c>
    </row>
    <row r="30" spans="2:16" customFormat="1" ht="12" customHeight="1" x14ac:dyDescent="0.2">
      <c r="B30" s="1"/>
      <c r="C30" s="29"/>
      <c r="D30" s="1"/>
      <c r="E30" s="1"/>
      <c r="F30" s="1"/>
      <c r="G30" s="1"/>
      <c r="H30" s="1"/>
      <c r="I30" s="1"/>
      <c r="J30" s="1"/>
      <c r="K30" s="1"/>
      <c r="L30" s="1"/>
      <c r="M30" s="1"/>
      <c r="N30" s="1"/>
      <c r="O30" s="1"/>
      <c r="P30" s="1"/>
    </row>
    <row r="31" spans="2:16" customFormat="1" ht="13.35" customHeight="1" x14ac:dyDescent="0.2">
      <c r="I31" s="352" t="s">
        <v>371</v>
      </c>
      <c r="J31" s="6"/>
    </row>
    <row r="32" spans="2:16" customFormat="1" ht="13.35" customHeight="1" x14ac:dyDescent="0.2">
      <c r="I32" s="1"/>
    </row>
    <row r="33" spans="3:16" ht="13.35" customHeight="1" x14ac:dyDescent="0.2"/>
    <row r="34" spans="3:16" ht="13.35" hidden="1" customHeight="1" x14ac:dyDescent="0.2">
      <c r="C34" s="342" t="s">
        <v>168</v>
      </c>
      <c r="D34" s="557"/>
      <c r="E34" s="581" t="str">
        <f>E2</f>
        <v>2009 [94.5% assessed]</v>
      </c>
      <c r="F34" s="579"/>
      <c r="G34" s="580"/>
      <c r="H34" s="581" t="str">
        <f>H2</f>
        <v>2010 [94.6% assessed]</v>
      </c>
      <c r="I34" s="579"/>
      <c r="J34" s="580"/>
      <c r="K34" s="581" t="str">
        <f>K2</f>
        <v>2011 [92.2% assessed]</v>
      </c>
      <c r="L34" s="579"/>
      <c r="M34" s="580"/>
      <c r="N34" s="581" t="str">
        <f>N2</f>
        <v>2012 [86.9% assessed]</v>
      </c>
      <c r="O34" s="579"/>
      <c r="P34" s="580"/>
    </row>
    <row r="35" spans="3:16" ht="13.35" hidden="1" customHeight="1" x14ac:dyDescent="0.2">
      <c r="C35" s="1034" t="s">
        <v>90</v>
      </c>
      <c r="D35" s="1035"/>
      <c r="E35" s="343" t="s">
        <v>200</v>
      </c>
      <c r="F35" s="343" t="s">
        <v>199</v>
      </c>
      <c r="G35" s="344" t="s">
        <v>8</v>
      </c>
      <c r="H35" s="343" t="s">
        <v>200</v>
      </c>
      <c r="I35" s="343" t="s">
        <v>199</v>
      </c>
      <c r="J35" s="344" t="s">
        <v>8</v>
      </c>
      <c r="K35" s="343" t="s">
        <v>200</v>
      </c>
      <c r="L35" s="343" t="s">
        <v>199</v>
      </c>
      <c r="M35" s="344" t="s">
        <v>8</v>
      </c>
      <c r="N35" s="343" t="s">
        <v>200</v>
      </c>
      <c r="O35" s="343" t="s">
        <v>199</v>
      </c>
      <c r="P35" s="344" t="s">
        <v>8</v>
      </c>
    </row>
    <row r="36" spans="3:16" ht="13.35" hidden="1" customHeight="1" x14ac:dyDescent="0.2">
      <c r="C36" s="145" t="s">
        <v>18</v>
      </c>
      <c r="D36" s="338" t="s">
        <v>43</v>
      </c>
      <c r="E36" s="15">
        <v>28925</v>
      </c>
      <c r="F36" s="15">
        <f t="shared" ref="F36:F60" si="0">G36-E36</f>
        <v>60056</v>
      </c>
      <c r="G36" s="24">
        <f>A2.1.1!E4</f>
        <v>88981</v>
      </c>
      <c r="H36" s="15">
        <v>30117</v>
      </c>
      <c r="I36" s="15">
        <f t="shared" ref="I36" si="1">J36-H36</f>
        <v>60845</v>
      </c>
      <c r="J36" s="24">
        <f>A2.1.1!H4</f>
        <v>90962</v>
      </c>
      <c r="K36" s="15">
        <v>28733</v>
      </c>
      <c r="L36" s="15">
        <f t="shared" ref="L36" si="2">M36-K36</f>
        <v>56498</v>
      </c>
      <c r="M36" s="24">
        <f>A2.1.1!K4</f>
        <v>85231</v>
      </c>
      <c r="N36" s="15">
        <v>26567</v>
      </c>
      <c r="O36" s="15">
        <f t="shared" ref="O36" si="3">P36-N36</f>
        <v>48444</v>
      </c>
      <c r="P36" s="24">
        <f>A2.1.1!N4</f>
        <v>75011</v>
      </c>
    </row>
    <row r="37" spans="3:16" ht="13.35" hidden="1" customHeight="1" x14ac:dyDescent="0.2">
      <c r="C37" s="145" t="s">
        <v>19</v>
      </c>
      <c r="D37" s="339" t="s">
        <v>129</v>
      </c>
      <c r="E37" s="15">
        <v>95790</v>
      </c>
      <c r="F37" s="15">
        <f t="shared" si="0"/>
        <v>131407</v>
      </c>
      <c r="G37" s="24">
        <f>A2.1.1!E5</f>
        <v>227197</v>
      </c>
      <c r="H37" s="15">
        <v>100905</v>
      </c>
      <c r="I37" s="15">
        <f t="shared" ref="I37:I60" si="4">J37-H37</f>
        <v>139542</v>
      </c>
      <c r="J37" s="24">
        <f>A2.1.1!H5</f>
        <v>240447</v>
      </c>
      <c r="K37" s="15">
        <v>78876</v>
      </c>
      <c r="L37" s="15">
        <f t="shared" ref="L37:L60" si="5">M37-K37</f>
        <v>107510</v>
      </c>
      <c r="M37" s="24">
        <f>A2.1.1!K5</f>
        <v>186386</v>
      </c>
      <c r="N37" s="15">
        <v>61190</v>
      </c>
      <c r="O37" s="15">
        <f t="shared" ref="O37:O60" si="6">P37-N37</f>
        <v>75916</v>
      </c>
      <c r="P37" s="24">
        <f>A2.1.1!N5</f>
        <v>137106</v>
      </c>
    </row>
    <row r="38" spans="3:16" ht="13.35" hidden="1" customHeight="1" x14ac:dyDescent="0.2">
      <c r="C38" s="145" t="s">
        <v>20</v>
      </c>
      <c r="D38" s="338" t="s">
        <v>44</v>
      </c>
      <c r="E38" s="15">
        <v>80523</v>
      </c>
      <c r="F38" s="15">
        <f t="shared" si="0"/>
        <v>95552</v>
      </c>
      <c r="G38" s="24">
        <f>A2.1.1!E6</f>
        <v>176075</v>
      </c>
      <c r="H38" s="15">
        <v>90614</v>
      </c>
      <c r="I38" s="15">
        <f t="shared" si="4"/>
        <v>110495</v>
      </c>
      <c r="J38" s="24">
        <f>A2.1.1!H6</f>
        <v>201109</v>
      </c>
      <c r="K38" s="15">
        <v>98986</v>
      </c>
      <c r="L38" s="15">
        <f t="shared" si="5"/>
        <v>112586</v>
      </c>
      <c r="M38" s="24">
        <f>A2.1.1!K6</f>
        <v>211572</v>
      </c>
      <c r="N38" s="15">
        <v>99108</v>
      </c>
      <c r="O38" s="15">
        <f t="shared" si="6"/>
        <v>100461</v>
      </c>
      <c r="P38" s="24">
        <f>A2.1.1!N6</f>
        <v>199569</v>
      </c>
    </row>
    <row r="39" spans="3:16" ht="13.35" hidden="1" customHeight="1" x14ac:dyDescent="0.2">
      <c r="C39" s="145" t="s">
        <v>21</v>
      </c>
      <c r="D39" s="338" t="s">
        <v>45</v>
      </c>
      <c r="E39" s="15">
        <v>43701</v>
      </c>
      <c r="F39" s="15">
        <f t="shared" si="0"/>
        <v>55069</v>
      </c>
      <c r="G39" s="24">
        <f>A2.1.1!E7</f>
        <v>98770</v>
      </c>
      <c r="H39" s="15">
        <v>46730</v>
      </c>
      <c r="I39" s="15">
        <f t="shared" si="4"/>
        <v>59728</v>
      </c>
      <c r="J39" s="24">
        <f>A2.1.1!H7</f>
        <v>106458</v>
      </c>
      <c r="K39" s="15">
        <v>51168</v>
      </c>
      <c r="L39" s="15">
        <f t="shared" si="5"/>
        <v>63700</v>
      </c>
      <c r="M39" s="24">
        <f>A2.1.1!K7</f>
        <v>114868</v>
      </c>
      <c r="N39" s="15">
        <v>45375</v>
      </c>
      <c r="O39" s="15">
        <f t="shared" si="6"/>
        <v>54263</v>
      </c>
      <c r="P39" s="24">
        <f>A2.1.1!N7</f>
        <v>99638</v>
      </c>
    </row>
    <row r="40" spans="3:16" ht="13.35" hidden="1" customHeight="1" x14ac:dyDescent="0.2">
      <c r="C40" s="145" t="s">
        <v>22</v>
      </c>
      <c r="D40" s="338" t="s">
        <v>46</v>
      </c>
      <c r="E40" s="15">
        <v>51692</v>
      </c>
      <c r="F40" s="15">
        <f t="shared" si="0"/>
        <v>66639</v>
      </c>
      <c r="G40" s="24">
        <f>A2.1.1!E8</f>
        <v>118331</v>
      </c>
      <c r="H40" s="15">
        <v>52076</v>
      </c>
      <c r="I40" s="15">
        <f t="shared" si="4"/>
        <v>69567</v>
      </c>
      <c r="J40" s="24">
        <f>A2.1.1!H8</f>
        <v>121643</v>
      </c>
      <c r="K40" s="15">
        <v>55453</v>
      </c>
      <c r="L40" s="15">
        <f t="shared" si="5"/>
        <v>73604</v>
      </c>
      <c r="M40" s="24">
        <f>A2.1.1!K8</f>
        <v>129057</v>
      </c>
      <c r="N40" s="15">
        <v>50095</v>
      </c>
      <c r="O40" s="15">
        <f t="shared" si="6"/>
        <v>62746</v>
      </c>
      <c r="P40" s="24">
        <f>A2.1.1!N8</f>
        <v>112841</v>
      </c>
    </row>
    <row r="41" spans="3:16" ht="13.35" hidden="1" customHeight="1" x14ac:dyDescent="0.2">
      <c r="C41" s="145" t="s">
        <v>23</v>
      </c>
      <c r="D41" s="338" t="s">
        <v>47</v>
      </c>
      <c r="E41" s="15">
        <v>78410</v>
      </c>
      <c r="F41" s="15">
        <f t="shared" si="0"/>
        <v>100524</v>
      </c>
      <c r="G41" s="24">
        <f>A2.1.1!E9</f>
        <v>178934</v>
      </c>
      <c r="H41" s="15">
        <v>63176</v>
      </c>
      <c r="I41" s="15">
        <f t="shared" si="4"/>
        <v>84173</v>
      </c>
      <c r="J41" s="24">
        <f>A2.1.1!H9</f>
        <v>147349</v>
      </c>
      <c r="K41" s="15">
        <v>62680</v>
      </c>
      <c r="L41" s="15">
        <f t="shared" si="5"/>
        <v>84465</v>
      </c>
      <c r="M41" s="24">
        <f>A2.1.1!K9</f>
        <v>147145</v>
      </c>
      <c r="N41" s="15">
        <v>56470</v>
      </c>
      <c r="O41" s="15">
        <f t="shared" si="6"/>
        <v>75953</v>
      </c>
      <c r="P41" s="24">
        <f>A2.1.1!N9</f>
        <v>132423</v>
      </c>
    </row>
    <row r="42" spans="3:16" ht="13.35" hidden="1" customHeight="1" x14ac:dyDescent="0.2">
      <c r="C42" s="145" t="s">
        <v>24</v>
      </c>
      <c r="D42" s="338" t="s">
        <v>48</v>
      </c>
      <c r="E42" s="15">
        <v>86205</v>
      </c>
      <c r="F42" s="15">
        <f t="shared" si="0"/>
        <v>100930</v>
      </c>
      <c r="G42" s="24">
        <f>A2.1.1!E10</f>
        <v>187135</v>
      </c>
      <c r="H42" s="15">
        <v>95231</v>
      </c>
      <c r="I42" s="15">
        <f t="shared" si="4"/>
        <v>120927</v>
      </c>
      <c r="J42" s="24">
        <f>A2.1.1!H10</f>
        <v>216158</v>
      </c>
      <c r="K42" s="15">
        <v>92350</v>
      </c>
      <c r="L42" s="15">
        <f t="shared" si="5"/>
        <v>120125</v>
      </c>
      <c r="M42" s="24">
        <f>A2.1.1!K10</f>
        <v>212475</v>
      </c>
      <c r="N42" s="15">
        <v>78589</v>
      </c>
      <c r="O42" s="15">
        <f t="shared" si="6"/>
        <v>99181</v>
      </c>
      <c r="P42" s="24">
        <f>A2.1.1!N10</f>
        <v>177770</v>
      </c>
    </row>
    <row r="43" spans="3:16" ht="13.35" hidden="1" customHeight="1" x14ac:dyDescent="0.2">
      <c r="C43" s="145" t="s">
        <v>25</v>
      </c>
      <c r="D43" s="338" t="s">
        <v>49</v>
      </c>
      <c r="E43" s="15">
        <v>96361</v>
      </c>
      <c r="F43" s="15">
        <f t="shared" si="0"/>
        <v>111878</v>
      </c>
      <c r="G43" s="24">
        <f>A2.1.1!E11</f>
        <v>208239</v>
      </c>
      <c r="H43" s="15">
        <v>109977</v>
      </c>
      <c r="I43" s="15">
        <f t="shared" si="4"/>
        <v>125695</v>
      </c>
      <c r="J43" s="24">
        <f>A2.1.1!H11</f>
        <v>235672</v>
      </c>
      <c r="K43" s="15">
        <v>99946</v>
      </c>
      <c r="L43" s="15">
        <f t="shared" si="5"/>
        <v>125508</v>
      </c>
      <c r="M43" s="24">
        <f>A2.1.1!K11</f>
        <v>225454</v>
      </c>
      <c r="N43" s="15">
        <v>83796</v>
      </c>
      <c r="O43" s="15">
        <f t="shared" si="6"/>
        <v>107697</v>
      </c>
      <c r="P43" s="24">
        <f>A2.1.1!N11</f>
        <v>191493</v>
      </c>
    </row>
    <row r="44" spans="3:16" ht="13.35" hidden="1" customHeight="1" x14ac:dyDescent="0.2">
      <c r="C44" s="145" t="s">
        <v>26</v>
      </c>
      <c r="D44" s="338" t="s">
        <v>50</v>
      </c>
      <c r="E44" s="15">
        <v>94717</v>
      </c>
      <c r="F44" s="15">
        <f t="shared" si="0"/>
        <v>111406</v>
      </c>
      <c r="G44" s="24">
        <f>A2.1.1!E12</f>
        <v>206123</v>
      </c>
      <c r="H44" s="15">
        <v>107337</v>
      </c>
      <c r="I44" s="15">
        <f t="shared" si="4"/>
        <v>122782</v>
      </c>
      <c r="J44" s="24">
        <f>A2.1.1!H12</f>
        <v>230119</v>
      </c>
      <c r="K44" s="15">
        <v>119507</v>
      </c>
      <c r="L44" s="15">
        <f t="shared" si="5"/>
        <v>136630</v>
      </c>
      <c r="M44" s="24">
        <f>A2.1.1!K12</f>
        <v>256137</v>
      </c>
      <c r="N44" s="15">
        <v>102348</v>
      </c>
      <c r="O44" s="15">
        <f t="shared" si="6"/>
        <v>118926</v>
      </c>
      <c r="P44" s="24">
        <f>A2.1.1!N12</f>
        <v>221274</v>
      </c>
    </row>
    <row r="45" spans="3:16" ht="13.35" hidden="1" customHeight="1" x14ac:dyDescent="0.2">
      <c r="C45" s="48" t="s">
        <v>27</v>
      </c>
      <c r="D45" s="312" t="s">
        <v>51</v>
      </c>
      <c r="E45" s="15">
        <v>93557</v>
      </c>
      <c r="F45" s="15">
        <f t="shared" si="0"/>
        <v>104935</v>
      </c>
      <c r="G45" s="24">
        <f>A2.1.1!E13</f>
        <v>198492</v>
      </c>
      <c r="H45" s="15">
        <v>99984</v>
      </c>
      <c r="I45" s="15">
        <f t="shared" si="4"/>
        <v>116708</v>
      </c>
      <c r="J45" s="24">
        <f>A2.1.1!H13</f>
        <v>216692</v>
      </c>
      <c r="K45" s="15">
        <v>106593</v>
      </c>
      <c r="L45" s="15">
        <f t="shared" si="5"/>
        <v>123588</v>
      </c>
      <c r="M45" s="24">
        <f>A2.1.1!K13</f>
        <v>230181</v>
      </c>
      <c r="N45" s="15">
        <v>111098</v>
      </c>
      <c r="O45" s="15">
        <f t="shared" si="6"/>
        <v>125789</v>
      </c>
      <c r="P45" s="24">
        <f>A2.1.1!N13</f>
        <v>236887</v>
      </c>
    </row>
    <row r="46" spans="3:16" ht="13.35" hidden="1" customHeight="1" x14ac:dyDescent="0.2">
      <c r="C46" s="48" t="s">
        <v>28</v>
      </c>
      <c r="D46" s="312" t="s">
        <v>52</v>
      </c>
      <c r="E46" s="15">
        <v>96431</v>
      </c>
      <c r="F46" s="15">
        <f t="shared" si="0"/>
        <v>104692</v>
      </c>
      <c r="G46" s="24">
        <f>A2.1.1!E14</f>
        <v>201123</v>
      </c>
      <c r="H46" s="15">
        <v>98521</v>
      </c>
      <c r="I46" s="15">
        <f t="shared" si="4"/>
        <v>108386</v>
      </c>
      <c r="J46" s="24">
        <f>A2.1.1!H14</f>
        <v>206907</v>
      </c>
      <c r="K46" s="15">
        <v>93914</v>
      </c>
      <c r="L46" s="15">
        <f t="shared" si="5"/>
        <v>109819</v>
      </c>
      <c r="M46" s="24">
        <f>A2.1.1!K14</f>
        <v>203733</v>
      </c>
      <c r="N46" s="15">
        <v>101367</v>
      </c>
      <c r="O46" s="15">
        <f t="shared" si="6"/>
        <v>115484</v>
      </c>
      <c r="P46" s="24">
        <f>A2.1.1!N14</f>
        <v>216851</v>
      </c>
    </row>
    <row r="47" spans="3:16" ht="13.35" hidden="1" customHeight="1" x14ac:dyDescent="0.2">
      <c r="C47" s="48" t="s">
        <v>29</v>
      </c>
      <c r="D47" s="312" t="s">
        <v>53</v>
      </c>
      <c r="E47" s="15">
        <v>102350</v>
      </c>
      <c r="F47" s="15">
        <f t="shared" si="0"/>
        <v>108656</v>
      </c>
      <c r="G47" s="24">
        <f>A2.1.1!E15</f>
        <v>211006</v>
      </c>
      <c r="H47" s="15">
        <v>94591</v>
      </c>
      <c r="I47" s="15">
        <f t="shared" si="4"/>
        <v>106654</v>
      </c>
      <c r="J47" s="24">
        <f>A2.1.1!H15</f>
        <v>201245</v>
      </c>
      <c r="K47" s="15">
        <v>95152</v>
      </c>
      <c r="L47" s="15">
        <f t="shared" si="5"/>
        <v>102154</v>
      </c>
      <c r="M47" s="24">
        <f>A2.1.1!K15</f>
        <v>197306</v>
      </c>
      <c r="N47" s="15">
        <v>89190</v>
      </c>
      <c r="O47" s="15">
        <f t="shared" si="6"/>
        <v>103145</v>
      </c>
      <c r="P47" s="24">
        <f>A2.1.1!N15</f>
        <v>192335</v>
      </c>
    </row>
    <row r="48" spans="3:16" ht="13.35" hidden="1" customHeight="1" x14ac:dyDescent="0.2">
      <c r="C48" s="48" t="s">
        <v>30</v>
      </c>
      <c r="D48" s="312" t="s">
        <v>54</v>
      </c>
      <c r="E48" s="15">
        <v>95248</v>
      </c>
      <c r="F48" s="15">
        <f t="shared" si="0"/>
        <v>101253</v>
      </c>
      <c r="G48" s="24">
        <f>A2.1.1!E16</f>
        <v>196501</v>
      </c>
      <c r="H48" s="15">
        <v>99579</v>
      </c>
      <c r="I48" s="15">
        <f t="shared" si="4"/>
        <v>111159</v>
      </c>
      <c r="J48" s="24">
        <f>A2.1.1!H16</f>
        <v>210738</v>
      </c>
      <c r="K48" s="15">
        <v>91955</v>
      </c>
      <c r="L48" s="15">
        <f t="shared" si="5"/>
        <v>100652</v>
      </c>
      <c r="M48" s="24">
        <f>A2.1.1!K16</f>
        <v>192607</v>
      </c>
      <c r="N48" s="15">
        <v>89809</v>
      </c>
      <c r="O48" s="15">
        <f t="shared" si="6"/>
        <v>96438</v>
      </c>
      <c r="P48" s="24">
        <f>A2.1.1!N16</f>
        <v>186247</v>
      </c>
    </row>
    <row r="49" spans="3:16" ht="13.35" hidden="1" customHeight="1" x14ac:dyDescent="0.2">
      <c r="C49" s="48" t="s">
        <v>31</v>
      </c>
      <c r="D49" s="312" t="s">
        <v>55</v>
      </c>
      <c r="E49" s="15">
        <v>109264</v>
      </c>
      <c r="F49" s="15">
        <f t="shared" si="0"/>
        <v>101507</v>
      </c>
      <c r="G49" s="24">
        <f>A2.1.1!E17</f>
        <v>210771</v>
      </c>
      <c r="H49" s="15">
        <v>89338</v>
      </c>
      <c r="I49" s="15">
        <f t="shared" si="4"/>
        <v>98736</v>
      </c>
      <c r="J49" s="24">
        <f>A2.1.1!H17</f>
        <v>188074</v>
      </c>
      <c r="K49" s="15">
        <v>91930</v>
      </c>
      <c r="L49" s="15">
        <f t="shared" si="5"/>
        <v>103611</v>
      </c>
      <c r="M49" s="24">
        <f>A2.1.1!K17</f>
        <v>195541</v>
      </c>
      <c r="N49" s="15">
        <v>83223</v>
      </c>
      <c r="O49" s="15">
        <f t="shared" si="6"/>
        <v>95073</v>
      </c>
      <c r="P49" s="24">
        <f>A2.1.1!N17</f>
        <v>178296</v>
      </c>
    </row>
    <row r="50" spans="3:16" ht="13.35" hidden="1" customHeight="1" x14ac:dyDescent="0.2">
      <c r="C50" s="48" t="s">
        <v>32</v>
      </c>
      <c r="D50" s="312" t="s">
        <v>56</v>
      </c>
      <c r="E50" s="15">
        <v>113355</v>
      </c>
      <c r="F50" s="15">
        <f t="shared" si="0"/>
        <v>99146</v>
      </c>
      <c r="G50" s="24">
        <f>A2.1.1!E18</f>
        <v>212501</v>
      </c>
      <c r="H50" s="15">
        <v>85021</v>
      </c>
      <c r="I50" s="15">
        <f t="shared" si="4"/>
        <v>89575</v>
      </c>
      <c r="J50" s="24">
        <f>A2.1.1!H18</f>
        <v>174596</v>
      </c>
      <c r="K50" s="15">
        <v>83845</v>
      </c>
      <c r="L50" s="15">
        <f t="shared" si="5"/>
        <v>95398</v>
      </c>
      <c r="M50" s="24">
        <f>A2.1.1!K18</f>
        <v>179243</v>
      </c>
      <c r="N50" s="15">
        <v>87891</v>
      </c>
      <c r="O50" s="15">
        <f t="shared" si="6"/>
        <v>104534</v>
      </c>
      <c r="P50" s="24">
        <f>A2.1.1!N18</f>
        <v>192425</v>
      </c>
    </row>
    <row r="51" spans="3:16" ht="13.35" hidden="1" customHeight="1" x14ac:dyDescent="0.2">
      <c r="C51" s="48" t="s">
        <v>33</v>
      </c>
      <c r="D51" s="312" t="s">
        <v>57</v>
      </c>
      <c r="E51" s="15">
        <v>81314</v>
      </c>
      <c r="F51" s="15">
        <f t="shared" si="0"/>
        <v>91588</v>
      </c>
      <c r="G51" s="24">
        <f>A2.1.1!E19</f>
        <v>172902</v>
      </c>
      <c r="H51" s="15">
        <v>96348</v>
      </c>
      <c r="I51" s="15">
        <f t="shared" si="4"/>
        <v>86958</v>
      </c>
      <c r="J51" s="24">
        <f>A2.1.1!H19</f>
        <v>183306</v>
      </c>
      <c r="K51" s="15">
        <v>80511</v>
      </c>
      <c r="L51" s="15">
        <f t="shared" si="5"/>
        <v>87613</v>
      </c>
      <c r="M51" s="24">
        <f>A2.1.1!K19</f>
        <v>168124</v>
      </c>
      <c r="N51" s="15">
        <v>76259</v>
      </c>
      <c r="O51" s="15">
        <f t="shared" si="6"/>
        <v>91883</v>
      </c>
      <c r="P51" s="24">
        <f>A2.1.1!N19</f>
        <v>168142</v>
      </c>
    </row>
    <row r="52" spans="3:16" ht="13.35" hidden="1" customHeight="1" x14ac:dyDescent="0.2">
      <c r="C52" s="48" t="s">
        <v>34</v>
      </c>
      <c r="D52" s="527" t="s">
        <v>58</v>
      </c>
      <c r="E52" s="15">
        <v>281781</v>
      </c>
      <c r="F52" s="15">
        <f t="shared" si="0"/>
        <v>357305</v>
      </c>
      <c r="G52" s="24">
        <f>A2.1.1!E20</f>
        <v>639086</v>
      </c>
      <c r="H52" s="15">
        <v>348319</v>
      </c>
      <c r="I52" s="15">
        <f t="shared" si="4"/>
        <v>376892</v>
      </c>
      <c r="J52" s="24">
        <f>A2.1.1!H20</f>
        <v>725211</v>
      </c>
      <c r="K52" s="15">
        <v>372634</v>
      </c>
      <c r="L52" s="15">
        <f t="shared" si="5"/>
        <v>383808</v>
      </c>
      <c r="M52" s="24">
        <f>A2.1.1!K20</f>
        <v>756442</v>
      </c>
      <c r="N52" s="15">
        <v>371516</v>
      </c>
      <c r="O52" s="15">
        <f t="shared" si="6"/>
        <v>358135</v>
      </c>
      <c r="P52" s="24">
        <f>A2.1.1!N20</f>
        <v>729651</v>
      </c>
    </row>
    <row r="53" spans="3:16" ht="13.35" hidden="1" customHeight="1" x14ac:dyDescent="0.2">
      <c r="C53" s="48" t="s">
        <v>35</v>
      </c>
      <c r="D53" s="312" t="s">
        <v>59</v>
      </c>
      <c r="E53" s="15">
        <v>212857</v>
      </c>
      <c r="F53" s="15">
        <f t="shared" si="0"/>
        <v>347463</v>
      </c>
      <c r="G53" s="24">
        <f>A2.1.1!E21</f>
        <v>560320</v>
      </c>
      <c r="H53" s="15">
        <v>259770</v>
      </c>
      <c r="I53" s="15">
        <f t="shared" si="4"/>
        <v>376801</v>
      </c>
      <c r="J53" s="24">
        <f>A2.1.1!H21</f>
        <v>636571</v>
      </c>
      <c r="K53" s="15">
        <v>316845</v>
      </c>
      <c r="L53" s="15">
        <f t="shared" si="5"/>
        <v>412332</v>
      </c>
      <c r="M53" s="24">
        <f>A2.1.1!K21</f>
        <v>729177</v>
      </c>
      <c r="N53" s="15">
        <v>357848</v>
      </c>
      <c r="O53" s="15">
        <f t="shared" si="6"/>
        <v>442542</v>
      </c>
      <c r="P53" s="24">
        <f>A2.1.1!N21</f>
        <v>800390</v>
      </c>
    </row>
    <row r="54" spans="3:16" ht="13.35" hidden="1" customHeight="1" x14ac:dyDescent="0.2">
      <c r="C54" s="48" t="s">
        <v>36</v>
      </c>
      <c r="D54" s="312" t="s">
        <v>60</v>
      </c>
      <c r="E54" s="15">
        <v>75545</v>
      </c>
      <c r="F54" s="15">
        <f t="shared" si="0"/>
        <v>176088</v>
      </c>
      <c r="G54" s="24">
        <f>A2.1.1!E22</f>
        <v>251633</v>
      </c>
      <c r="H54" s="15">
        <v>86107</v>
      </c>
      <c r="I54" s="15">
        <f t="shared" si="4"/>
        <v>189762</v>
      </c>
      <c r="J54" s="24">
        <f>A2.1.1!H22</f>
        <v>275869</v>
      </c>
      <c r="K54" s="15">
        <v>107007</v>
      </c>
      <c r="L54" s="15">
        <f t="shared" si="5"/>
        <v>208616</v>
      </c>
      <c r="M54" s="24">
        <f>A2.1.1!K22</f>
        <v>315623</v>
      </c>
      <c r="N54" s="15">
        <v>122412</v>
      </c>
      <c r="O54" s="15">
        <f t="shared" si="6"/>
        <v>216531</v>
      </c>
      <c r="P54" s="24">
        <f>A2.1.1!N22</f>
        <v>338943</v>
      </c>
    </row>
    <row r="55" spans="3:16" ht="13.35" hidden="1" customHeight="1" x14ac:dyDescent="0.2">
      <c r="C55" s="48" t="s">
        <v>37</v>
      </c>
      <c r="D55" s="312" t="s">
        <v>61</v>
      </c>
      <c r="E55" s="15">
        <v>34762</v>
      </c>
      <c r="F55" s="15">
        <f t="shared" si="0"/>
        <v>96993</v>
      </c>
      <c r="G55" s="24">
        <f>A2.1.1!E23</f>
        <v>131755</v>
      </c>
      <c r="H55" s="15">
        <v>37286</v>
      </c>
      <c r="I55" s="15">
        <f t="shared" si="4"/>
        <v>102099</v>
      </c>
      <c r="J55" s="24">
        <f>A2.1.1!H23</f>
        <v>139385</v>
      </c>
      <c r="K55" s="15">
        <v>45551</v>
      </c>
      <c r="L55" s="15">
        <f t="shared" si="5"/>
        <v>116824</v>
      </c>
      <c r="M55" s="24">
        <f>A2.1.1!K23</f>
        <v>162375</v>
      </c>
      <c r="N55" s="15">
        <v>54595</v>
      </c>
      <c r="O55" s="15">
        <f t="shared" si="6"/>
        <v>127596</v>
      </c>
      <c r="P55" s="24">
        <f>A2.1.1!N23</f>
        <v>182191</v>
      </c>
    </row>
    <row r="56" spans="3:16" ht="13.35" hidden="1" customHeight="1" x14ac:dyDescent="0.2">
      <c r="C56" s="48" t="s">
        <v>38</v>
      </c>
      <c r="D56" s="312" t="s">
        <v>62</v>
      </c>
      <c r="E56" s="15">
        <v>29972</v>
      </c>
      <c r="F56" s="15">
        <f t="shared" si="0"/>
        <v>104258</v>
      </c>
      <c r="G56" s="24">
        <f>A2.1.1!E24</f>
        <v>134230</v>
      </c>
      <c r="H56" s="15">
        <v>35120</v>
      </c>
      <c r="I56" s="15">
        <f t="shared" si="4"/>
        <v>114245</v>
      </c>
      <c r="J56" s="24">
        <f>A2.1.1!H24</f>
        <v>149365</v>
      </c>
      <c r="K56" s="15">
        <v>44655</v>
      </c>
      <c r="L56" s="15">
        <f t="shared" si="5"/>
        <v>131018</v>
      </c>
      <c r="M56" s="24">
        <f>A2.1.1!K24</f>
        <v>175673</v>
      </c>
      <c r="N56" s="15">
        <v>51849</v>
      </c>
      <c r="O56" s="15">
        <f t="shared" si="6"/>
        <v>143725</v>
      </c>
      <c r="P56" s="24">
        <f>A2.1.1!N24</f>
        <v>195574</v>
      </c>
    </row>
    <row r="57" spans="3:16" ht="13.35" hidden="1" customHeight="1" x14ac:dyDescent="0.2">
      <c r="C57" s="48" t="s">
        <v>39</v>
      </c>
      <c r="D57" s="312" t="s">
        <v>63</v>
      </c>
      <c r="E57" s="15">
        <v>8015</v>
      </c>
      <c r="F57" s="15">
        <f t="shared" si="0"/>
        <v>37772</v>
      </c>
      <c r="G57" s="24">
        <f>A2.1.1!E25</f>
        <v>45787</v>
      </c>
      <c r="H57" s="15">
        <v>8609</v>
      </c>
      <c r="I57" s="15">
        <f t="shared" si="4"/>
        <v>39615</v>
      </c>
      <c r="J57" s="24">
        <f>A2.1.1!H25</f>
        <v>48224</v>
      </c>
      <c r="K57" s="15">
        <v>11628</v>
      </c>
      <c r="L57" s="15">
        <f t="shared" si="5"/>
        <v>46632</v>
      </c>
      <c r="M57" s="24">
        <f>A2.1.1!K25</f>
        <v>58260</v>
      </c>
      <c r="N57" s="15">
        <v>14569</v>
      </c>
      <c r="O57" s="15">
        <f t="shared" si="6"/>
        <v>53210</v>
      </c>
      <c r="P57" s="24">
        <f>A2.1.1!N25</f>
        <v>67779</v>
      </c>
    </row>
    <row r="58" spans="3:16" ht="13.35" hidden="1" customHeight="1" x14ac:dyDescent="0.2">
      <c r="C58" s="48" t="s">
        <v>40</v>
      </c>
      <c r="D58" s="312" t="s">
        <v>64</v>
      </c>
      <c r="E58" s="15">
        <v>6034</v>
      </c>
      <c r="F58" s="15">
        <f t="shared" si="0"/>
        <v>36680</v>
      </c>
      <c r="G58" s="24">
        <f>A2.1.1!E26</f>
        <v>42714</v>
      </c>
      <c r="H58" s="15">
        <v>5789</v>
      </c>
      <c r="I58" s="15">
        <f t="shared" si="4"/>
        <v>36497</v>
      </c>
      <c r="J58" s="24">
        <f>A2.1.1!H26</f>
        <v>42286</v>
      </c>
      <c r="K58" s="15">
        <v>7828</v>
      </c>
      <c r="L58" s="15">
        <f t="shared" si="5"/>
        <v>43294</v>
      </c>
      <c r="M58" s="24">
        <f>A2.1.1!K26</f>
        <v>51122</v>
      </c>
      <c r="N58" s="15">
        <v>9705</v>
      </c>
      <c r="O58" s="15">
        <f t="shared" si="6"/>
        <v>48457</v>
      </c>
      <c r="P58" s="24">
        <f>A2.1.1!N26</f>
        <v>58162</v>
      </c>
    </row>
    <row r="59" spans="3:16" ht="13.35" hidden="1" customHeight="1" x14ac:dyDescent="0.2">
      <c r="C59" s="48" t="s">
        <v>41</v>
      </c>
      <c r="D59" s="312" t="s">
        <v>65</v>
      </c>
      <c r="E59" s="15">
        <v>1139</v>
      </c>
      <c r="F59" s="15">
        <f t="shared" si="0"/>
        <v>10746</v>
      </c>
      <c r="G59" s="24">
        <f>A2.1.1!E27</f>
        <v>11885</v>
      </c>
      <c r="H59" s="15">
        <v>1093</v>
      </c>
      <c r="I59" s="15">
        <f t="shared" si="4"/>
        <v>10212</v>
      </c>
      <c r="J59" s="24">
        <f>A2.1.1!H27</f>
        <v>11305</v>
      </c>
      <c r="K59" s="15">
        <v>1408</v>
      </c>
      <c r="L59" s="15">
        <f t="shared" si="5"/>
        <v>12021</v>
      </c>
      <c r="M59" s="24">
        <f>A2.1.1!K27</f>
        <v>13429</v>
      </c>
      <c r="N59" s="15">
        <v>1606</v>
      </c>
      <c r="O59" s="15">
        <f t="shared" si="6"/>
        <v>13064</v>
      </c>
      <c r="P59" s="24">
        <f>A2.1.1!N27</f>
        <v>14670</v>
      </c>
    </row>
    <row r="60" spans="3:16" ht="13.35" hidden="1" customHeight="1" x14ac:dyDescent="0.2">
      <c r="C60" s="340" t="s">
        <v>42</v>
      </c>
      <c r="D60" s="528" t="s">
        <v>66</v>
      </c>
      <c r="E60" s="549">
        <v>158</v>
      </c>
      <c r="F60" s="549">
        <f t="shared" si="0"/>
        <v>2060</v>
      </c>
      <c r="G60" s="550">
        <f>A2.1.1!E28</f>
        <v>2218</v>
      </c>
      <c r="H60" s="549">
        <v>132</v>
      </c>
      <c r="I60" s="549">
        <f t="shared" si="4"/>
        <v>1735</v>
      </c>
      <c r="J60" s="550">
        <f>A2.1.1!H28</f>
        <v>1867</v>
      </c>
      <c r="K60" s="549">
        <v>161</v>
      </c>
      <c r="L60" s="549">
        <f t="shared" si="5"/>
        <v>2038</v>
      </c>
      <c r="M60" s="550">
        <f>A2.1.1!K28</f>
        <v>2199</v>
      </c>
      <c r="N60" s="549">
        <v>218</v>
      </c>
      <c r="O60" s="549">
        <f t="shared" si="6"/>
        <v>2321</v>
      </c>
      <c r="P60" s="550">
        <f>A2.1.1!N28</f>
        <v>2539</v>
      </c>
    </row>
    <row r="61" spans="3:16" ht="13.35" hidden="1" customHeight="1" x14ac:dyDescent="0.2">
      <c r="C61" s="275" t="s">
        <v>8</v>
      </c>
      <c r="D61" s="529"/>
      <c r="E61" s="345">
        <f t="shared" ref="E61:P61" si="7">SUM(E36:E60)</f>
        <v>1998106</v>
      </c>
      <c r="F61" s="345">
        <f t="shared" si="7"/>
        <v>2714603</v>
      </c>
      <c r="G61" s="346">
        <f t="shared" si="7"/>
        <v>4712709</v>
      </c>
      <c r="H61" s="345">
        <f t="shared" si="7"/>
        <v>2141770</v>
      </c>
      <c r="I61" s="345">
        <f t="shared" si="7"/>
        <v>2859788</v>
      </c>
      <c r="J61" s="346">
        <f t="shared" si="7"/>
        <v>5001558</v>
      </c>
      <c r="K61" s="345">
        <f t="shared" si="7"/>
        <v>2239316</v>
      </c>
      <c r="L61" s="345">
        <f t="shared" si="7"/>
        <v>2960044</v>
      </c>
      <c r="M61" s="346">
        <f t="shared" si="7"/>
        <v>5199360</v>
      </c>
      <c r="N61" s="345">
        <f t="shared" si="7"/>
        <v>2226693</v>
      </c>
      <c r="O61" s="345">
        <f t="shared" si="7"/>
        <v>2881514</v>
      </c>
      <c r="P61" s="346">
        <f t="shared" si="7"/>
        <v>5108207</v>
      </c>
    </row>
    <row r="62" spans="3:16" ht="13.35" customHeight="1" x14ac:dyDescent="0.2"/>
  </sheetData>
  <mergeCells count="2">
    <mergeCell ref="C3:D3"/>
    <mergeCell ref="C35:D35"/>
  </mergeCells>
  <hyperlinks>
    <hyperlink ref="I31"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7" tint="0.79998168889431442"/>
    <pageSetUpPr fitToPage="1"/>
  </sheetPr>
  <dimension ref="B1:P31"/>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7.7109375" style="2" customWidth="1"/>
    <col min="4" max="4" width="33.28515625" style="2" customWidth="1"/>
    <col min="5" max="6" width="10.7109375" style="2" customWidth="1"/>
    <col min="7" max="8" width="10.7109375" style="14" customWidth="1"/>
    <col min="9" max="12" width="10.7109375" style="6" customWidth="1"/>
    <col min="13" max="16384" width="9.140625" style="10"/>
  </cols>
  <sheetData>
    <row r="1" spans="2:16" s="8" customFormat="1" ht="15" customHeight="1" x14ac:dyDescent="0.2">
      <c r="B1" s="439" t="s">
        <v>384</v>
      </c>
      <c r="C1" s="51"/>
      <c r="D1" s="51"/>
      <c r="E1" s="70"/>
      <c r="F1" s="70"/>
      <c r="G1" s="61"/>
      <c r="H1" s="61"/>
      <c r="I1" s="4"/>
      <c r="J1" s="4"/>
      <c r="K1" s="4"/>
      <c r="L1" s="4"/>
      <c r="M1" s="7"/>
      <c r="N1" s="285"/>
      <c r="O1" s="285"/>
      <c r="P1" s="285"/>
    </row>
    <row r="2" spans="2:16" s="8" customFormat="1" ht="15" customHeight="1" x14ac:dyDescent="0.2">
      <c r="B2" s="463"/>
      <c r="C2" s="464" t="s">
        <v>168</v>
      </c>
      <c r="D2" s="526"/>
      <c r="E2" s="466" t="s">
        <v>576</v>
      </c>
      <c r="F2" s="468"/>
      <c r="G2" s="469" t="s">
        <v>577</v>
      </c>
      <c r="H2" s="468"/>
      <c r="I2" s="469" t="s">
        <v>578</v>
      </c>
      <c r="J2" s="468"/>
      <c r="K2" s="1033" t="s">
        <v>579</v>
      </c>
      <c r="L2" s="1020"/>
      <c r="M2" s="78"/>
      <c r="N2" s="286"/>
      <c r="O2" s="78"/>
      <c r="P2" s="78"/>
    </row>
    <row r="3" spans="2:16" ht="38.1" customHeight="1" x14ac:dyDescent="0.2">
      <c r="B3" s="470"/>
      <c r="C3" s="1028" t="s">
        <v>192</v>
      </c>
      <c r="D3" s="1030"/>
      <c r="E3" s="506" t="s">
        <v>17</v>
      </c>
      <c r="F3" s="507" t="s">
        <v>67</v>
      </c>
      <c r="G3" s="506" t="s">
        <v>17</v>
      </c>
      <c r="H3" s="507" t="s">
        <v>67</v>
      </c>
      <c r="I3" s="506" t="s">
        <v>17</v>
      </c>
      <c r="J3" s="507" t="s">
        <v>67</v>
      </c>
      <c r="K3" s="506" t="s">
        <v>17</v>
      </c>
      <c r="L3" s="507" t="s">
        <v>67</v>
      </c>
      <c r="M3" s="21"/>
      <c r="N3" s="232"/>
      <c r="O3" s="21"/>
      <c r="P3" s="21"/>
    </row>
    <row r="4" spans="2:16" ht="13.35" customHeight="1" x14ac:dyDescent="0.2">
      <c r="B4" s="145"/>
      <c r="C4" s="149" t="s">
        <v>202</v>
      </c>
      <c r="D4" s="732"/>
      <c r="E4" s="733"/>
      <c r="F4" s="734"/>
      <c r="G4" s="733"/>
      <c r="H4" s="734"/>
      <c r="I4" s="733"/>
      <c r="J4" s="734"/>
      <c r="K4" s="733"/>
      <c r="L4" s="734"/>
      <c r="N4" s="232"/>
    </row>
    <row r="5" spans="2:16" ht="13.35" customHeight="1" x14ac:dyDescent="0.2">
      <c r="B5" s="145"/>
      <c r="C5" s="90">
        <v>3601</v>
      </c>
      <c r="D5" s="338" t="s">
        <v>193</v>
      </c>
      <c r="E5" s="708">
        <v>3679187</v>
      </c>
      <c r="F5" s="709">
        <v>533303.60317999998</v>
      </c>
      <c r="G5" s="708">
        <v>4305034</v>
      </c>
      <c r="H5" s="709">
        <v>673690.44144600001</v>
      </c>
      <c r="I5" s="708">
        <v>4572337</v>
      </c>
      <c r="J5" s="709">
        <v>754291.90344599995</v>
      </c>
      <c r="K5" s="708">
        <v>4584975</v>
      </c>
      <c r="L5" s="709">
        <v>809086.15027800004</v>
      </c>
      <c r="N5" s="232"/>
    </row>
    <row r="6" spans="2:16" ht="13.35" customHeight="1" x14ac:dyDescent="0.2">
      <c r="B6" s="145"/>
      <c r="C6" s="90">
        <v>3603</v>
      </c>
      <c r="D6" s="338" t="s">
        <v>189</v>
      </c>
      <c r="E6" s="708">
        <v>309123</v>
      </c>
      <c r="F6" s="709">
        <v>23710.955359</v>
      </c>
      <c r="G6" s="708">
        <v>0</v>
      </c>
      <c r="H6" s="709">
        <v>0</v>
      </c>
      <c r="I6" s="708">
        <v>0</v>
      </c>
      <c r="J6" s="709">
        <v>0</v>
      </c>
      <c r="K6" s="708">
        <v>0</v>
      </c>
      <c r="L6" s="709">
        <v>0</v>
      </c>
      <c r="N6" s="232"/>
    </row>
    <row r="7" spans="2:16" ht="13.35" customHeight="1" x14ac:dyDescent="0.2">
      <c r="B7" s="145"/>
      <c r="C7" s="90">
        <v>3605</v>
      </c>
      <c r="D7" s="338" t="s">
        <v>183</v>
      </c>
      <c r="E7" s="708">
        <v>2997046</v>
      </c>
      <c r="F7" s="709">
        <v>77953.765989000007</v>
      </c>
      <c r="G7" s="708">
        <v>3189301</v>
      </c>
      <c r="H7" s="709">
        <v>79617.529072000005</v>
      </c>
      <c r="I7" s="708">
        <v>3403708</v>
      </c>
      <c r="J7" s="709">
        <v>89338.656281000003</v>
      </c>
      <c r="K7" s="708">
        <v>3434383</v>
      </c>
      <c r="L7" s="709">
        <v>96009.899588</v>
      </c>
    </row>
    <row r="8" spans="2:16" ht="13.35" customHeight="1" x14ac:dyDescent="0.2">
      <c r="B8" s="145"/>
      <c r="C8" s="90">
        <v>3606</v>
      </c>
      <c r="D8" s="338" t="s">
        <v>184</v>
      </c>
      <c r="E8" s="708">
        <v>280415</v>
      </c>
      <c r="F8" s="709">
        <v>27323.449767999999</v>
      </c>
      <c r="G8" s="708">
        <v>278980</v>
      </c>
      <c r="H8" s="709">
        <v>25992.133339</v>
      </c>
      <c r="I8" s="708">
        <v>292784</v>
      </c>
      <c r="J8" s="709">
        <v>28463.188131999999</v>
      </c>
      <c r="K8" s="708">
        <v>278744</v>
      </c>
      <c r="L8" s="709">
        <v>29375.875827</v>
      </c>
    </row>
    <row r="9" spans="2:16" ht="13.35" customHeight="1" x14ac:dyDescent="0.2">
      <c r="B9" s="145"/>
      <c r="C9" s="90">
        <v>3607</v>
      </c>
      <c r="D9" s="338" t="s">
        <v>185</v>
      </c>
      <c r="E9" s="708">
        <v>1442091</v>
      </c>
      <c r="F9" s="709">
        <v>25987.005902000001</v>
      </c>
      <c r="G9" s="708">
        <v>0</v>
      </c>
      <c r="H9" s="709">
        <v>0</v>
      </c>
      <c r="I9" s="708">
        <v>0</v>
      </c>
      <c r="J9" s="709">
        <v>0</v>
      </c>
      <c r="K9" s="708">
        <v>0</v>
      </c>
      <c r="L9" s="709">
        <v>0</v>
      </c>
    </row>
    <row r="10" spans="2:16" ht="13.35" customHeight="1" x14ac:dyDescent="0.2">
      <c r="B10" s="145"/>
      <c r="C10" s="90">
        <v>3610</v>
      </c>
      <c r="D10" s="338" t="s">
        <v>186</v>
      </c>
      <c r="E10" s="708">
        <v>319284</v>
      </c>
      <c r="F10" s="709">
        <v>9941.2032600000002</v>
      </c>
      <c r="G10" s="708">
        <v>0</v>
      </c>
      <c r="H10" s="709">
        <v>0</v>
      </c>
      <c r="I10" s="708">
        <v>0</v>
      </c>
      <c r="J10" s="709">
        <v>0</v>
      </c>
      <c r="K10" s="708">
        <v>0</v>
      </c>
      <c r="L10" s="709">
        <v>0</v>
      </c>
    </row>
    <row r="11" spans="2:16" s="1" customFormat="1" ht="13.35" customHeight="1" x14ac:dyDescent="0.2">
      <c r="B11" s="631"/>
      <c r="C11" s="90">
        <v>3615</v>
      </c>
      <c r="D11" s="338" t="s">
        <v>190</v>
      </c>
      <c r="E11" s="708">
        <v>143427</v>
      </c>
      <c r="F11" s="709">
        <v>37947.688265999997</v>
      </c>
      <c r="G11" s="708">
        <v>132307</v>
      </c>
      <c r="H11" s="709">
        <v>38424.233577999999</v>
      </c>
      <c r="I11" s="708">
        <v>127469</v>
      </c>
      <c r="J11" s="709">
        <v>40754.520554000002</v>
      </c>
      <c r="K11" s="708">
        <v>113069</v>
      </c>
      <c r="L11" s="709">
        <v>40048.191715000001</v>
      </c>
    </row>
    <row r="12" spans="2:16" ht="13.35" customHeight="1" x14ac:dyDescent="0.2">
      <c r="B12" s="146"/>
      <c r="C12" s="571">
        <v>3616</v>
      </c>
      <c r="D12" s="434" t="s">
        <v>191</v>
      </c>
      <c r="E12" s="710">
        <v>60135</v>
      </c>
      <c r="F12" s="711">
        <v>5918.7903630000001</v>
      </c>
      <c r="G12" s="710">
        <v>54617</v>
      </c>
      <c r="H12" s="711">
        <v>5906.1251629999997</v>
      </c>
      <c r="I12" s="710">
        <v>56764</v>
      </c>
      <c r="J12" s="711">
        <v>5906.9327929999999</v>
      </c>
      <c r="K12" s="710">
        <v>57985</v>
      </c>
      <c r="L12" s="711">
        <v>6271.8926689999998</v>
      </c>
    </row>
    <row r="13" spans="2:16" ht="13.35" customHeight="1" x14ac:dyDescent="0.2">
      <c r="B13" s="146"/>
      <c r="C13" s="582">
        <v>3601</v>
      </c>
      <c r="D13" s="714" t="s">
        <v>319</v>
      </c>
      <c r="E13" s="735"/>
      <c r="F13" s="711">
        <f t="shared" ref="F13:L13" si="0">F5+F6+F9+F10</f>
        <v>592942.76770099998</v>
      </c>
      <c r="G13" s="735"/>
      <c r="H13" s="711">
        <f t="shared" si="0"/>
        <v>673690.44144600001</v>
      </c>
      <c r="I13" s="710">
        <f t="shared" si="0"/>
        <v>4572337</v>
      </c>
      <c r="J13" s="711">
        <f t="shared" si="0"/>
        <v>754291.90344599995</v>
      </c>
      <c r="K13" s="710">
        <f t="shared" si="0"/>
        <v>4584975</v>
      </c>
      <c r="L13" s="711">
        <f t="shared" si="0"/>
        <v>809086.15027800004</v>
      </c>
    </row>
    <row r="14" spans="2:16" s="1" customFormat="1" ht="13.35" customHeight="1" x14ac:dyDescent="0.2">
      <c r="B14" s="631"/>
      <c r="C14" s="149" t="s">
        <v>203</v>
      </c>
      <c r="D14" s="338"/>
      <c r="E14" s="708"/>
      <c r="F14" s="709"/>
      <c r="G14" s="708"/>
      <c r="H14" s="709"/>
      <c r="I14" s="708"/>
      <c r="J14" s="709"/>
      <c r="K14" s="708"/>
      <c r="L14" s="709"/>
    </row>
    <row r="15" spans="2:16" s="1" customFormat="1" ht="13.35" customHeight="1" x14ac:dyDescent="0.2">
      <c r="B15" s="631"/>
      <c r="C15" s="90">
        <v>4201</v>
      </c>
      <c r="D15" s="338" t="s">
        <v>204</v>
      </c>
      <c r="E15" s="708">
        <v>288042</v>
      </c>
      <c r="F15" s="709">
        <v>19059.329114</v>
      </c>
      <c r="G15" s="708">
        <v>247057</v>
      </c>
      <c r="H15" s="709">
        <v>14701.34845</v>
      </c>
      <c r="I15" s="708">
        <v>199383</v>
      </c>
      <c r="J15" s="709">
        <v>10957.227406</v>
      </c>
      <c r="K15" s="708">
        <v>172238</v>
      </c>
      <c r="L15" s="709">
        <v>9537.4752380000009</v>
      </c>
    </row>
    <row r="16" spans="2:16" s="1" customFormat="1" ht="13.35" customHeight="1" x14ac:dyDescent="0.2">
      <c r="B16" s="631"/>
      <c r="C16" s="90">
        <v>4210</v>
      </c>
      <c r="D16" s="338" t="s">
        <v>187</v>
      </c>
      <c r="E16" s="708">
        <v>70322</v>
      </c>
      <c r="F16" s="709">
        <v>2563.021346</v>
      </c>
      <c r="G16" s="708">
        <v>84013</v>
      </c>
      <c r="H16" s="709">
        <v>3223.2931749999998</v>
      </c>
      <c r="I16" s="708">
        <v>93679</v>
      </c>
      <c r="J16" s="709">
        <v>3730.606542</v>
      </c>
      <c r="K16" s="708">
        <v>91733</v>
      </c>
      <c r="L16" s="709">
        <v>3898.0417689999999</v>
      </c>
    </row>
    <row r="17" spans="2:12" s="1" customFormat="1" ht="13.35" customHeight="1" x14ac:dyDescent="0.2">
      <c r="B17" s="631"/>
      <c r="C17" s="90">
        <v>4211</v>
      </c>
      <c r="D17" s="338" t="s">
        <v>188</v>
      </c>
      <c r="E17" s="708">
        <v>53263</v>
      </c>
      <c r="F17" s="709">
        <v>-1929.0108789999999</v>
      </c>
      <c r="G17" s="708">
        <v>52318</v>
      </c>
      <c r="H17" s="709">
        <v>-1408.3022450000001</v>
      </c>
      <c r="I17" s="708">
        <v>48427</v>
      </c>
      <c r="J17" s="709">
        <v>-1143.611832</v>
      </c>
      <c r="K17" s="708">
        <v>41254</v>
      </c>
      <c r="L17" s="709">
        <v>-925.14152899999999</v>
      </c>
    </row>
    <row r="18" spans="2:12" s="50" customFormat="1" ht="13.35" customHeight="1" x14ac:dyDescent="0.2">
      <c r="B18" s="631"/>
      <c r="C18" s="90">
        <v>4218</v>
      </c>
      <c r="D18" s="338" t="s">
        <v>205</v>
      </c>
      <c r="E18" s="708">
        <v>24690</v>
      </c>
      <c r="F18" s="709">
        <v>943.83826499999998</v>
      </c>
      <c r="G18" s="708">
        <v>15421</v>
      </c>
      <c r="H18" s="709">
        <v>439.17972600000002</v>
      </c>
      <c r="I18" s="708">
        <v>12952</v>
      </c>
      <c r="J18" s="709">
        <v>385.009162</v>
      </c>
      <c r="K18" s="708">
        <v>13989</v>
      </c>
      <c r="L18" s="709">
        <v>453.42372999999998</v>
      </c>
    </row>
    <row r="19" spans="2:12" s="50" customFormat="1" ht="13.35" customHeight="1" x14ac:dyDescent="0.2">
      <c r="B19" s="631"/>
      <c r="C19" s="90">
        <v>4250</v>
      </c>
      <c r="D19" s="338" t="s">
        <v>196</v>
      </c>
      <c r="E19" s="708">
        <v>59888</v>
      </c>
      <c r="F19" s="709">
        <v>7337.6292169999997</v>
      </c>
      <c r="G19" s="708">
        <v>45197</v>
      </c>
      <c r="H19" s="709">
        <v>5219.7356069999996</v>
      </c>
      <c r="I19" s="708">
        <v>56650</v>
      </c>
      <c r="J19" s="709">
        <v>6026.2522939999999</v>
      </c>
      <c r="K19" s="708">
        <v>56616</v>
      </c>
      <c r="L19" s="709">
        <v>7500.8996550000002</v>
      </c>
    </row>
    <row r="20" spans="2:12" s="50" customFormat="1" ht="13.35" customHeight="1" x14ac:dyDescent="0.2">
      <c r="B20" s="632"/>
      <c r="C20" s="571">
        <v>4252</v>
      </c>
      <c r="D20" s="434" t="s">
        <v>197</v>
      </c>
      <c r="E20" s="710">
        <v>2932</v>
      </c>
      <c r="F20" s="711">
        <v>304.74601899999999</v>
      </c>
      <c r="G20" s="710">
        <v>1856</v>
      </c>
      <c r="H20" s="711">
        <v>143.57455999999999</v>
      </c>
      <c r="I20" s="710">
        <v>2081</v>
      </c>
      <c r="J20" s="711">
        <v>151.62207699999999</v>
      </c>
      <c r="K20" s="710">
        <v>2268</v>
      </c>
      <c r="L20" s="711">
        <v>205.10703899999999</v>
      </c>
    </row>
    <row r="21" spans="2:12" ht="13.35" customHeight="1" x14ac:dyDescent="0.2">
      <c r="B21" s="632"/>
      <c r="C21" s="635" t="s">
        <v>8</v>
      </c>
      <c r="D21" s="636"/>
      <c r="E21" s="736"/>
      <c r="F21" s="713">
        <f>SUM(F5:F12)+SUM(F15:F20)</f>
        <v>770366.01516900002</v>
      </c>
      <c r="G21" s="736"/>
      <c r="H21" s="713">
        <f>SUM(H5:H12)+SUM(H15:H20)</f>
        <v>845949.29187099996</v>
      </c>
      <c r="I21" s="736"/>
      <c r="J21" s="713">
        <f>SUM(J5:J12)+SUM(J15:J20)</f>
        <v>938862.30685500009</v>
      </c>
      <c r="K21" s="736"/>
      <c r="L21" s="713">
        <f>SUM(L5:L12)+SUM(L15:L20)</f>
        <v>1001461.8159790001</v>
      </c>
    </row>
    <row r="22" spans="2:12" ht="12" customHeight="1" x14ac:dyDescent="0.2">
      <c r="C22" s="29" t="s">
        <v>567</v>
      </c>
      <c r="D22"/>
      <c r="E22"/>
      <c r="F22"/>
      <c r="G22"/>
      <c r="H22"/>
      <c r="I22" s="1"/>
      <c r="J22"/>
      <c r="K22"/>
      <c r="L22"/>
    </row>
    <row r="23" spans="2:12" ht="13.35" customHeight="1" x14ac:dyDescent="0.2">
      <c r="C23"/>
      <c r="D23"/>
      <c r="E23"/>
      <c r="F23"/>
      <c r="G23"/>
      <c r="H23"/>
      <c r="I23" s="1"/>
      <c r="J23"/>
      <c r="K23"/>
      <c r="L23"/>
    </row>
    <row r="24" spans="2:12" ht="13.35" customHeight="1" x14ac:dyDescent="0.2">
      <c r="C24"/>
      <c r="E24"/>
      <c r="F24"/>
      <c r="G24" s="352" t="s">
        <v>371</v>
      </c>
      <c r="H24"/>
      <c r="I24" s="1"/>
      <c r="J24"/>
      <c r="K24"/>
      <c r="L24"/>
    </row>
    <row r="25" spans="2:12" ht="13.35" customHeight="1" x14ac:dyDescent="0.2">
      <c r="C25"/>
      <c r="D25"/>
      <c r="E25"/>
      <c r="F25"/>
      <c r="G25"/>
      <c r="H25"/>
    </row>
    <row r="26" spans="2:12" customFormat="1" ht="13.35" customHeight="1" x14ac:dyDescent="0.2">
      <c r="C26" s="2"/>
      <c r="D26" s="2"/>
      <c r="E26" s="2"/>
      <c r="F26" s="2"/>
      <c r="G26" s="14"/>
      <c r="H26" s="14"/>
      <c r="I26" s="6"/>
      <c r="J26" s="6"/>
      <c r="K26" s="6"/>
      <c r="L26" s="6"/>
    </row>
    <row r="27" spans="2:12" customFormat="1" ht="13.35" customHeight="1" x14ac:dyDescent="0.2">
      <c r="C27" s="2"/>
      <c r="D27" s="2"/>
      <c r="E27" s="2"/>
      <c r="F27" s="2"/>
      <c r="G27" s="14"/>
      <c r="H27" s="14"/>
      <c r="I27" s="6"/>
      <c r="J27" s="6"/>
      <c r="K27" s="6"/>
      <c r="L27" s="6"/>
    </row>
    <row r="29" spans="2:12" hidden="1" x14ac:dyDescent="0.2">
      <c r="L29" s="306">
        <f>L13</f>
        <v>809086.15027800004</v>
      </c>
    </row>
    <row r="30" spans="2:12" hidden="1" x14ac:dyDescent="0.2">
      <c r="K30" s="876" t="s">
        <v>571</v>
      </c>
      <c r="L30" s="876">
        <f>A2.1.1!O29</f>
        <v>1023935.7377770001</v>
      </c>
    </row>
    <row r="31" spans="2:12" hidden="1" x14ac:dyDescent="0.2">
      <c r="L31" s="162">
        <f>L29/L30</f>
        <v>0.79017278177491301</v>
      </c>
    </row>
  </sheetData>
  <mergeCells count="2">
    <mergeCell ref="C3:D3"/>
    <mergeCell ref="K2:L2"/>
  </mergeCells>
  <hyperlinks>
    <hyperlink ref="G24"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theme="7" tint="0.79998168889431442"/>
    <pageSetUpPr fitToPage="1"/>
  </sheetPr>
  <dimension ref="B1:Q101"/>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37.7109375" style="2" customWidth="1"/>
    <col min="5" max="7" width="8.7109375" style="2" customWidth="1"/>
    <col min="8" max="9" width="8.7109375" style="14" customWidth="1"/>
    <col min="10" max="16" width="8.7109375" style="6" customWidth="1"/>
    <col min="17" max="17" width="12.42578125" style="10" bestFit="1" customWidth="1"/>
    <col min="18" max="16384" width="9.140625" style="10"/>
  </cols>
  <sheetData>
    <row r="1" spans="2:16" s="8" customFormat="1" ht="15" customHeight="1" x14ac:dyDescent="0.2">
      <c r="B1" s="439" t="s">
        <v>425</v>
      </c>
      <c r="C1" s="311"/>
      <c r="D1" s="311"/>
      <c r="E1" s="355"/>
      <c r="F1" s="355"/>
      <c r="G1" s="70"/>
      <c r="H1" s="61"/>
      <c r="I1" s="61"/>
      <c r="J1" s="5"/>
      <c r="K1" s="4"/>
      <c r="L1" s="4"/>
      <c r="M1" s="4"/>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38.1" customHeight="1" x14ac:dyDescent="0.2">
      <c r="B3" s="470"/>
      <c r="C3" s="1028" t="s">
        <v>142</v>
      </c>
      <c r="D3" s="1030"/>
      <c r="E3" s="621" t="s">
        <v>17</v>
      </c>
      <c r="F3" s="621" t="s">
        <v>67</v>
      </c>
      <c r="G3" s="622" t="s">
        <v>68</v>
      </c>
      <c r="H3" s="621" t="s">
        <v>17</v>
      </c>
      <c r="I3" s="621" t="s">
        <v>67</v>
      </c>
      <c r="J3" s="622" t="s">
        <v>68</v>
      </c>
      <c r="K3" s="621" t="s">
        <v>17</v>
      </c>
      <c r="L3" s="621" t="s">
        <v>67</v>
      </c>
      <c r="M3" s="622" t="s">
        <v>68</v>
      </c>
      <c r="N3" s="621" t="s">
        <v>17</v>
      </c>
      <c r="O3" s="621" t="s">
        <v>67</v>
      </c>
      <c r="P3" s="622" t="s">
        <v>68</v>
      </c>
    </row>
    <row r="4" spans="2:16" ht="13.35" customHeight="1" x14ac:dyDescent="0.2">
      <c r="B4" s="48"/>
      <c r="C4" s="587" t="s">
        <v>412</v>
      </c>
      <c r="D4" s="338"/>
      <c r="E4" s="708">
        <v>799965</v>
      </c>
      <c r="F4" s="708">
        <v>157228.147983</v>
      </c>
      <c r="G4" s="709">
        <v>33920.060429999998</v>
      </c>
      <c r="H4" s="708">
        <v>848996</v>
      </c>
      <c r="I4" s="708">
        <v>166609.20645200001</v>
      </c>
      <c r="J4" s="709">
        <v>34211.717707000003</v>
      </c>
      <c r="K4" s="708">
        <v>884879</v>
      </c>
      <c r="L4" s="708">
        <v>181276.370257</v>
      </c>
      <c r="M4" s="709">
        <v>37286.764708000002</v>
      </c>
      <c r="N4" s="708">
        <v>823430</v>
      </c>
      <c r="O4" s="708">
        <v>177383.856421</v>
      </c>
      <c r="P4" s="709">
        <v>35770.449162999997</v>
      </c>
    </row>
    <row r="5" spans="2:16" ht="13.35" customHeight="1" x14ac:dyDescent="0.2">
      <c r="B5" s="48"/>
      <c r="C5" s="16" t="s">
        <v>110</v>
      </c>
      <c r="D5" s="338"/>
      <c r="E5" s="708">
        <v>73808</v>
      </c>
      <c r="F5" s="708">
        <v>13211.516464</v>
      </c>
      <c r="G5" s="709">
        <v>3786.2486410000001</v>
      </c>
      <c r="H5" s="708">
        <v>78332</v>
      </c>
      <c r="I5" s="708">
        <v>13999.785040999999</v>
      </c>
      <c r="J5" s="709">
        <v>3818.8042129999999</v>
      </c>
      <c r="K5" s="708">
        <v>83900</v>
      </c>
      <c r="L5" s="708">
        <v>16235.161161</v>
      </c>
      <c r="M5" s="709">
        <v>4381.3258169999999</v>
      </c>
      <c r="N5" s="708">
        <v>93168</v>
      </c>
      <c r="O5" s="708">
        <v>20108.143117</v>
      </c>
      <c r="P5" s="709">
        <v>5227.3691719999997</v>
      </c>
    </row>
    <row r="6" spans="2:16" ht="13.35" customHeight="1" x14ac:dyDescent="0.2">
      <c r="B6" s="48"/>
      <c r="C6" s="16" t="s">
        <v>131</v>
      </c>
      <c r="D6" s="338"/>
      <c r="E6" s="708">
        <v>10804</v>
      </c>
      <c r="F6" s="708">
        <v>2185.6122009999999</v>
      </c>
      <c r="G6" s="709">
        <v>463.41309100000001</v>
      </c>
      <c r="H6" s="708">
        <v>11466</v>
      </c>
      <c r="I6" s="708">
        <v>2316.017323</v>
      </c>
      <c r="J6" s="709">
        <v>467.39768900000001</v>
      </c>
      <c r="K6" s="708">
        <v>13812</v>
      </c>
      <c r="L6" s="708">
        <v>2815.179314</v>
      </c>
      <c r="M6" s="709">
        <v>561.46461499999998</v>
      </c>
      <c r="N6" s="708">
        <v>15290</v>
      </c>
      <c r="O6" s="708">
        <v>3318.4820220000001</v>
      </c>
      <c r="P6" s="709">
        <v>670.32553700000005</v>
      </c>
    </row>
    <row r="7" spans="2:16" ht="13.35" customHeight="1" x14ac:dyDescent="0.2">
      <c r="B7" s="48"/>
      <c r="C7" s="16" t="s">
        <v>111</v>
      </c>
      <c r="D7" s="338"/>
      <c r="E7" s="708">
        <v>22762</v>
      </c>
      <c r="F7" s="708">
        <v>2838.3008100000002</v>
      </c>
      <c r="G7" s="709">
        <v>570.34436400000004</v>
      </c>
      <c r="H7" s="708">
        <v>24157</v>
      </c>
      <c r="I7" s="708">
        <v>3007.648768</v>
      </c>
      <c r="J7" s="709">
        <v>575.24839699999995</v>
      </c>
      <c r="K7" s="708">
        <v>26644</v>
      </c>
      <c r="L7" s="708">
        <v>3376.9274</v>
      </c>
      <c r="M7" s="709">
        <v>621.80600400000003</v>
      </c>
      <c r="N7" s="708">
        <v>28206</v>
      </c>
      <c r="O7" s="708">
        <v>4165.2696910000004</v>
      </c>
      <c r="P7" s="709">
        <v>812.45520399999998</v>
      </c>
    </row>
    <row r="8" spans="2:16" ht="13.35" customHeight="1" x14ac:dyDescent="0.2">
      <c r="B8" s="48"/>
      <c r="C8" s="16" t="s">
        <v>132</v>
      </c>
      <c r="D8" s="338"/>
      <c r="E8" s="708">
        <v>30271</v>
      </c>
      <c r="F8" s="708">
        <v>6631.2134820000001</v>
      </c>
      <c r="G8" s="709">
        <v>1502.923775</v>
      </c>
      <c r="H8" s="708">
        <v>32126</v>
      </c>
      <c r="I8" s="708">
        <v>7026.8665639999999</v>
      </c>
      <c r="J8" s="709">
        <v>1515.8464719999999</v>
      </c>
      <c r="K8" s="708">
        <v>35756</v>
      </c>
      <c r="L8" s="708">
        <v>8227.1814119999999</v>
      </c>
      <c r="M8" s="709">
        <v>1746.1206560000001</v>
      </c>
      <c r="N8" s="708">
        <v>42516</v>
      </c>
      <c r="O8" s="708">
        <v>10090.522698000001</v>
      </c>
      <c r="P8" s="709">
        <v>2137.0833910000001</v>
      </c>
    </row>
    <row r="9" spans="2:16" ht="13.35" customHeight="1" x14ac:dyDescent="0.2">
      <c r="B9" s="48"/>
      <c r="C9" s="16" t="s">
        <v>112</v>
      </c>
      <c r="D9" s="338"/>
      <c r="E9" s="708">
        <v>15149</v>
      </c>
      <c r="F9" s="708">
        <v>2468.8730399999999</v>
      </c>
      <c r="G9" s="709">
        <v>505.67336799999998</v>
      </c>
      <c r="H9" s="708">
        <v>16078</v>
      </c>
      <c r="I9" s="708">
        <v>2616.1789939999999</v>
      </c>
      <c r="J9" s="709">
        <v>510.02133500000002</v>
      </c>
      <c r="K9" s="708">
        <v>16739</v>
      </c>
      <c r="L9" s="708">
        <v>2749.5017429999998</v>
      </c>
      <c r="M9" s="709">
        <v>528.16961000000003</v>
      </c>
      <c r="N9" s="708">
        <v>17158</v>
      </c>
      <c r="O9" s="708">
        <v>3239.7585650000001</v>
      </c>
      <c r="P9" s="709">
        <v>650.33673099999999</v>
      </c>
    </row>
    <row r="10" spans="2:16" s="50" customFormat="1" ht="13.35" customHeight="1" x14ac:dyDescent="0.2">
      <c r="B10" s="48"/>
      <c r="C10" s="16" t="s">
        <v>133</v>
      </c>
      <c r="D10" s="338"/>
      <c r="E10" s="708">
        <v>8548</v>
      </c>
      <c r="F10" s="708">
        <v>2365.4125589999999</v>
      </c>
      <c r="G10" s="709">
        <v>575.29047800000001</v>
      </c>
      <c r="H10" s="708">
        <v>9072</v>
      </c>
      <c r="I10" s="708">
        <v>2506.5455160000001</v>
      </c>
      <c r="J10" s="709">
        <v>580.23703899999998</v>
      </c>
      <c r="K10" s="708">
        <v>8737</v>
      </c>
      <c r="L10" s="708">
        <v>2430.8950359999999</v>
      </c>
      <c r="M10" s="709">
        <v>560.19085600000005</v>
      </c>
      <c r="N10" s="708">
        <v>12845</v>
      </c>
      <c r="O10" s="708">
        <v>4218.70892</v>
      </c>
      <c r="P10" s="709">
        <v>1028.536625</v>
      </c>
    </row>
    <row r="11" spans="2:16" s="1" customFormat="1" ht="13.35" customHeight="1" x14ac:dyDescent="0.2">
      <c r="B11" s="26"/>
      <c r="C11" s="16" t="s">
        <v>5</v>
      </c>
      <c r="D11" s="338"/>
      <c r="E11" s="708">
        <v>114121</v>
      </c>
      <c r="F11" s="708">
        <v>24226.171812000001</v>
      </c>
      <c r="G11" s="709">
        <v>5526.3803500000004</v>
      </c>
      <c r="H11" s="708">
        <v>121116</v>
      </c>
      <c r="I11" s="708">
        <v>25671.632673</v>
      </c>
      <c r="J11" s="709">
        <v>5573.8982210000004</v>
      </c>
      <c r="K11" s="708">
        <v>136090</v>
      </c>
      <c r="L11" s="708">
        <v>28114.211372999998</v>
      </c>
      <c r="M11" s="709">
        <v>5938.7638699999998</v>
      </c>
      <c r="N11" s="708">
        <v>146542</v>
      </c>
      <c r="O11" s="708">
        <v>31464.54003</v>
      </c>
      <c r="P11" s="709">
        <v>6546.3045350000002</v>
      </c>
    </row>
    <row r="12" spans="2:16" s="1" customFormat="1" ht="13.35" customHeight="1" x14ac:dyDescent="0.2">
      <c r="B12" s="26"/>
      <c r="C12" s="16" t="s">
        <v>113</v>
      </c>
      <c r="D12" s="338"/>
      <c r="E12" s="708">
        <v>131188</v>
      </c>
      <c r="F12" s="708">
        <v>23662.001979000001</v>
      </c>
      <c r="G12" s="709">
        <v>4354.0920470000001</v>
      </c>
      <c r="H12" s="708">
        <v>139229</v>
      </c>
      <c r="I12" s="708">
        <v>25073.801500000001</v>
      </c>
      <c r="J12" s="709">
        <v>4391.5301470000004</v>
      </c>
      <c r="K12" s="708">
        <v>146285</v>
      </c>
      <c r="L12" s="708">
        <v>27566.817322999999</v>
      </c>
      <c r="M12" s="709">
        <v>4797.7559140000003</v>
      </c>
      <c r="N12" s="708">
        <v>151276</v>
      </c>
      <c r="O12" s="708">
        <v>31019.825365000001</v>
      </c>
      <c r="P12" s="709">
        <v>5517.7280309999996</v>
      </c>
    </row>
    <row r="13" spans="2:16" s="1" customFormat="1" ht="13.35" customHeight="1" x14ac:dyDescent="0.2">
      <c r="B13" s="26"/>
      <c r="C13" s="16" t="s">
        <v>134</v>
      </c>
      <c r="D13" s="338"/>
      <c r="E13" s="708">
        <v>32207</v>
      </c>
      <c r="F13" s="708">
        <v>8110.0871880000004</v>
      </c>
      <c r="G13" s="709">
        <v>1786.970945</v>
      </c>
      <c r="H13" s="708">
        <v>34181</v>
      </c>
      <c r="I13" s="708">
        <v>8593.9776559999991</v>
      </c>
      <c r="J13" s="709">
        <v>1802.3359849999999</v>
      </c>
      <c r="K13" s="708">
        <v>35359</v>
      </c>
      <c r="L13" s="708">
        <v>9802.7863440000001</v>
      </c>
      <c r="M13" s="709">
        <v>2112.9717700000001</v>
      </c>
      <c r="N13" s="708">
        <v>26553</v>
      </c>
      <c r="O13" s="708">
        <v>7573.483303</v>
      </c>
      <c r="P13" s="709">
        <v>1651.2267939999999</v>
      </c>
    </row>
    <row r="14" spans="2:16" s="1" customFormat="1" ht="13.35" customHeight="1" x14ac:dyDescent="0.2">
      <c r="B14" s="26"/>
      <c r="C14" s="16" t="s">
        <v>135</v>
      </c>
      <c r="D14" s="338"/>
      <c r="E14" s="708">
        <v>1135751</v>
      </c>
      <c r="F14" s="708">
        <v>233002.61918400001</v>
      </c>
      <c r="G14" s="709">
        <v>52751.830957999999</v>
      </c>
      <c r="H14" s="708">
        <v>1205363</v>
      </c>
      <c r="I14" s="708">
        <v>246904.781246</v>
      </c>
      <c r="J14" s="709">
        <v>53205.410792000002</v>
      </c>
      <c r="K14" s="708">
        <v>1292480</v>
      </c>
      <c r="L14" s="708">
        <v>277635.17206200003</v>
      </c>
      <c r="M14" s="709">
        <v>60043.443093000002</v>
      </c>
      <c r="N14" s="708">
        <v>1393023</v>
      </c>
      <c r="O14" s="708">
        <v>302127.56836600002</v>
      </c>
      <c r="P14" s="709">
        <v>64303.031408000003</v>
      </c>
    </row>
    <row r="15" spans="2:16" customFormat="1" ht="13.35" customHeight="1" x14ac:dyDescent="0.2">
      <c r="B15" s="26"/>
      <c r="C15" s="16" t="s">
        <v>114</v>
      </c>
      <c r="D15" s="338"/>
      <c r="E15" s="708">
        <v>24839</v>
      </c>
      <c r="F15" s="708">
        <v>5228.1510699999999</v>
      </c>
      <c r="G15" s="709">
        <v>1185.2568309999999</v>
      </c>
      <c r="H15" s="708">
        <v>26361</v>
      </c>
      <c r="I15" s="708">
        <v>5540.0900680000004</v>
      </c>
      <c r="J15" s="709">
        <v>1195.4481089999999</v>
      </c>
      <c r="K15" s="708">
        <v>29611</v>
      </c>
      <c r="L15" s="708">
        <v>6349.4805640000004</v>
      </c>
      <c r="M15" s="709">
        <v>1368.6926539999999</v>
      </c>
      <c r="N15" s="708">
        <v>37827</v>
      </c>
      <c r="O15" s="708">
        <v>8880.2778849999995</v>
      </c>
      <c r="P15" s="709">
        <v>1970.812291</v>
      </c>
    </row>
    <row r="16" spans="2:16" customFormat="1" ht="13.35" customHeight="1" x14ac:dyDescent="0.2">
      <c r="B16" s="26"/>
      <c r="C16" s="16" t="s">
        <v>424</v>
      </c>
      <c r="D16" s="338"/>
      <c r="E16" s="708">
        <v>937</v>
      </c>
      <c r="F16" s="708">
        <v>144.18114399999999</v>
      </c>
      <c r="G16" s="709">
        <v>29.058264000000001</v>
      </c>
      <c r="H16" s="708">
        <v>994</v>
      </c>
      <c r="I16" s="708">
        <v>152.78375</v>
      </c>
      <c r="J16" s="709">
        <v>29.308118</v>
      </c>
      <c r="K16" s="708">
        <v>1719</v>
      </c>
      <c r="L16" s="708">
        <v>221.189999</v>
      </c>
      <c r="M16" s="709">
        <v>36.523325999999997</v>
      </c>
      <c r="N16" s="708">
        <v>1887</v>
      </c>
      <c r="O16" s="708">
        <v>269.98082099999999</v>
      </c>
      <c r="P16" s="709">
        <v>47.718224999999997</v>
      </c>
    </row>
    <row r="17" spans="2:17" customFormat="1" ht="13.35" customHeight="1" x14ac:dyDescent="0.2">
      <c r="B17" s="26"/>
      <c r="C17" s="16" t="s">
        <v>115</v>
      </c>
      <c r="D17" s="338"/>
      <c r="E17" s="708">
        <v>237</v>
      </c>
      <c r="F17" s="708">
        <v>32.985050000000001</v>
      </c>
      <c r="G17" s="709">
        <v>8.0883470000000006</v>
      </c>
      <c r="H17" s="708">
        <v>252</v>
      </c>
      <c r="I17" s="708">
        <v>34.953111999999997</v>
      </c>
      <c r="J17" s="709">
        <v>8.1578940000000006</v>
      </c>
      <c r="K17" s="708">
        <v>420</v>
      </c>
      <c r="L17" s="708">
        <v>27.531056</v>
      </c>
      <c r="M17" s="709">
        <v>4.9371939999999999</v>
      </c>
      <c r="N17" s="708">
        <v>349</v>
      </c>
      <c r="O17" s="708">
        <v>39.932676999999998</v>
      </c>
      <c r="P17" s="709">
        <v>5.009296</v>
      </c>
    </row>
    <row r="18" spans="2:17" customFormat="1" ht="13.35" customHeight="1" x14ac:dyDescent="0.2">
      <c r="B18" s="26"/>
      <c r="C18" s="16" t="s">
        <v>116</v>
      </c>
      <c r="D18" s="338"/>
      <c r="E18" s="708">
        <v>37550</v>
      </c>
      <c r="F18" s="708">
        <v>8637.4990140000009</v>
      </c>
      <c r="G18" s="709">
        <v>1987.772516</v>
      </c>
      <c r="H18" s="708">
        <v>39851</v>
      </c>
      <c r="I18" s="708">
        <v>9152.8576460000004</v>
      </c>
      <c r="J18" s="709">
        <v>2004.864122</v>
      </c>
      <c r="K18" s="708">
        <v>44992</v>
      </c>
      <c r="L18" s="708">
        <v>10709.298301999999</v>
      </c>
      <c r="M18" s="709">
        <v>2327.86508</v>
      </c>
      <c r="N18" s="708">
        <v>52376</v>
      </c>
      <c r="O18" s="708">
        <v>13456.404794</v>
      </c>
      <c r="P18" s="709">
        <v>2975.3616470000002</v>
      </c>
      <c r="Q18" s="588"/>
    </row>
    <row r="19" spans="2:17" customFormat="1" ht="13.35" customHeight="1" x14ac:dyDescent="0.2">
      <c r="B19" s="26"/>
      <c r="C19" s="16" t="s">
        <v>136</v>
      </c>
      <c r="D19" s="338"/>
      <c r="E19" s="708">
        <v>52015</v>
      </c>
      <c r="F19" s="708">
        <v>11362.555027</v>
      </c>
      <c r="G19" s="709">
        <v>2614.8396379999999</v>
      </c>
      <c r="H19" s="708">
        <v>55203</v>
      </c>
      <c r="I19" s="708">
        <v>12040.504837</v>
      </c>
      <c r="J19" s="709">
        <v>2637.3229999999999</v>
      </c>
      <c r="K19" s="708">
        <v>61485</v>
      </c>
      <c r="L19" s="708">
        <v>14043.830845</v>
      </c>
      <c r="M19" s="709">
        <v>3117.9837929999999</v>
      </c>
      <c r="N19" s="708">
        <v>68498</v>
      </c>
      <c r="O19" s="708">
        <v>16737.217412000002</v>
      </c>
      <c r="P19" s="709">
        <v>3694.9815870000002</v>
      </c>
    </row>
    <row r="20" spans="2:17" customFormat="1" ht="13.35" customHeight="1" x14ac:dyDescent="0.2">
      <c r="B20" s="26"/>
      <c r="C20" s="16" t="s">
        <v>312</v>
      </c>
      <c r="D20" s="338"/>
      <c r="E20" s="708">
        <v>44666</v>
      </c>
      <c r="F20" s="708">
        <v>9331.0944249999993</v>
      </c>
      <c r="G20" s="709">
        <v>2041.8580919999999</v>
      </c>
      <c r="H20" s="708">
        <v>47404</v>
      </c>
      <c r="I20" s="708">
        <v>9887.8366080000014</v>
      </c>
      <c r="J20" s="709">
        <v>2059.4147459999999</v>
      </c>
      <c r="K20" s="708">
        <v>55752</v>
      </c>
      <c r="L20" s="708">
        <v>11667.402180000001</v>
      </c>
      <c r="M20" s="709">
        <v>2362.368211</v>
      </c>
      <c r="N20" s="708">
        <v>74056</v>
      </c>
      <c r="O20" s="708">
        <v>15360.523702999999</v>
      </c>
      <c r="P20" s="709">
        <v>3070.2155240000002</v>
      </c>
    </row>
    <row r="21" spans="2:17" customFormat="1" ht="13.35" customHeight="1" x14ac:dyDescent="0.2">
      <c r="B21" s="26"/>
      <c r="C21" s="16" t="s">
        <v>117</v>
      </c>
      <c r="D21" s="338"/>
      <c r="E21" s="708">
        <v>116355</v>
      </c>
      <c r="F21" s="708">
        <v>28222.491793000001</v>
      </c>
      <c r="G21" s="709">
        <v>6633.5788499999999</v>
      </c>
      <c r="H21" s="708">
        <v>123487</v>
      </c>
      <c r="I21" s="708">
        <v>29906.394129</v>
      </c>
      <c r="J21" s="709">
        <v>6690.6168250000001</v>
      </c>
      <c r="K21" s="708">
        <v>144083</v>
      </c>
      <c r="L21" s="708">
        <v>36311.376730000004</v>
      </c>
      <c r="M21" s="709">
        <v>8203.7703010000005</v>
      </c>
      <c r="N21" s="708">
        <v>186237</v>
      </c>
      <c r="O21" s="708">
        <v>48984.928388</v>
      </c>
      <c r="P21" s="709">
        <v>11127.102853</v>
      </c>
    </row>
    <row r="22" spans="2:17" customFormat="1" ht="13.35" customHeight="1" x14ac:dyDescent="0.2">
      <c r="B22" s="26"/>
      <c r="C22" s="16" t="s">
        <v>118</v>
      </c>
      <c r="D22" s="338"/>
      <c r="E22" s="708">
        <v>14930</v>
      </c>
      <c r="F22" s="708">
        <v>2623.0552109999999</v>
      </c>
      <c r="G22" s="709">
        <v>529.99312299999997</v>
      </c>
      <c r="H22" s="708">
        <v>15845</v>
      </c>
      <c r="I22" s="708">
        <v>2779.5604840000001</v>
      </c>
      <c r="J22" s="709">
        <v>534.55020100000002</v>
      </c>
      <c r="K22" s="708">
        <v>16381</v>
      </c>
      <c r="L22" s="708">
        <v>2889.2631219999998</v>
      </c>
      <c r="M22" s="709">
        <v>551.32911899999999</v>
      </c>
      <c r="N22" s="708">
        <v>27264</v>
      </c>
      <c r="O22" s="708">
        <v>5577.4358490000004</v>
      </c>
      <c r="P22" s="709">
        <v>1142.0498580000001</v>
      </c>
    </row>
    <row r="23" spans="2:17" customFormat="1" ht="13.35" customHeight="1" x14ac:dyDescent="0.2">
      <c r="B23" s="26"/>
      <c r="C23" s="16" t="s">
        <v>119</v>
      </c>
      <c r="D23" s="338"/>
      <c r="E23" s="708">
        <v>22261</v>
      </c>
      <c r="F23" s="708">
        <v>4510.5805959999998</v>
      </c>
      <c r="G23" s="709">
        <v>933.29257900000005</v>
      </c>
      <c r="H23" s="708">
        <v>23625</v>
      </c>
      <c r="I23" s="708">
        <v>4779.7055639999999</v>
      </c>
      <c r="J23" s="709">
        <v>941.31737499999997</v>
      </c>
      <c r="K23" s="708">
        <v>25509</v>
      </c>
      <c r="L23" s="708">
        <v>5443.3388640000003</v>
      </c>
      <c r="M23" s="709">
        <v>1084.126137</v>
      </c>
      <c r="N23" s="708">
        <v>31154</v>
      </c>
      <c r="O23" s="708">
        <v>7124.1673170000004</v>
      </c>
      <c r="P23" s="709">
        <v>1459.118344</v>
      </c>
    </row>
    <row r="24" spans="2:17" customFormat="1" ht="13.35" customHeight="1" x14ac:dyDescent="0.2">
      <c r="B24" s="26"/>
      <c r="C24" s="16" t="s">
        <v>120</v>
      </c>
      <c r="D24" s="338"/>
      <c r="E24" s="708">
        <v>11762</v>
      </c>
      <c r="F24" s="708">
        <v>1167.6912600000001</v>
      </c>
      <c r="G24" s="709">
        <v>198.006463</v>
      </c>
      <c r="H24" s="708">
        <v>12483</v>
      </c>
      <c r="I24" s="708">
        <v>1237.361864</v>
      </c>
      <c r="J24" s="709">
        <v>199.70899600000001</v>
      </c>
      <c r="K24" s="708">
        <v>14035</v>
      </c>
      <c r="L24" s="708">
        <v>1468.328796</v>
      </c>
      <c r="M24" s="709">
        <v>231.865711</v>
      </c>
      <c r="N24" s="708">
        <v>13249</v>
      </c>
      <c r="O24" s="708">
        <v>1536.4884770000001</v>
      </c>
      <c r="P24" s="709">
        <v>233.78799900000001</v>
      </c>
    </row>
    <row r="25" spans="2:17" customFormat="1" ht="13.35" customHeight="1" x14ac:dyDescent="0.2">
      <c r="B25" s="26"/>
      <c r="C25" s="16" t="s">
        <v>415</v>
      </c>
      <c r="D25" s="338"/>
      <c r="E25" s="708">
        <v>643478</v>
      </c>
      <c r="F25" s="708">
        <v>100610.73836800001</v>
      </c>
      <c r="G25" s="709">
        <v>15850.698263</v>
      </c>
      <c r="H25" s="708">
        <v>682918</v>
      </c>
      <c r="I25" s="708">
        <v>106613.704321</v>
      </c>
      <c r="J25" s="709">
        <v>15986.988453</v>
      </c>
      <c r="K25" s="708">
        <v>780573</v>
      </c>
      <c r="L25" s="708">
        <v>130146.679393</v>
      </c>
      <c r="M25" s="709">
        <v>19775.066288000002</v>
      </c>
      <c r="N25" s="708">
        <v>889047</v>
      </c>
      <c r="O25" s="708">
        <v>158782.967511</v>
      </c>
      <c r="P25" s="709">
        <v>24528.130495000001</v>
      </c>
    </row>
    <row r="26" spans="2:17" customFormat="1" ht="13.35" customHeight="1" x14ac:dyDescent="0.2">
      <c r="B26" s="26"/>
      <c r="C26" s="16" t="s">
        <v>137</v>
      </c>
      <c r="D26" s="338"/>
      <c r="E26" s="708">
        <v>20828</v>
      </c>
      <c r="F26" s="708">
        <v>3910.1927150000001</v>
      </c>
      <c r="G26" s="709">
        <v>801.65712699999995</v>
      </c>
      <c r="H26" s="708">
        <v>22105</v>
      </c>
      <c r="I26" s="708">
        <v>4143.4953830000004</v>
      </c>
      <c r="J26" s="709">
        <v>808.550073</v>
      </c>
      <c r="K26" s="708">
        <v>26180</v>
      </c>
      <c r="L26" s="708">
        <v>5198.4798899999996</v>
      </c>
      <c r="M26" s="709">
        <v>1018.43809</v>
      </c>
      <c r="N26" s="708">
        <v>24969</v>
      </c>
      <c r="O26" s="708">
        <v>5273.0644739999998</v>
      </c>
      <c r="P26" s="709">
        <v>1088.1810820000001</v>
      </c>
    </row>
    <row r="27" spans="2:17" customFormat="1" ht="13.35" customHeight="1" x14ac:dyDescent="0.2">
      <c r="B27" s="26"/>
      <c r="C27" s="16" t="s">
        <v>121</v>
      </c>
      <c r="D27" s="338"/>
      <c r="E27" s="708">
        <v>4463</v>
      </c>
      <c r="F27" s="708">
        <v>898.69501100000002</v>
      </c>
      <c r="G27" s="709">
        <v>195.57533900000001</v>
      </c>
      <c r="H27" s="708">
        <v>4737</v>
      </c>
      <c r="I27" s="708">
        <v>952.31588299999999</v>
      </c>
      <c r="J27" s="709">
        <v>197.256968</v>
      </c>
      <c r="K27" s="708">
        <v>4824</v>
      </c>
      <c r="L27" s="708">
        <v>1042.4821489999999</v>
      </c>
      <c r="M27" s="709">
        <v>219.43306699999999</v>
      </c>
      <c r="N27" s="708">
        <v>7735</v>
      </c>
      <c r="O27" s="708">
        <v>1935.9714309999999</v>
      </c>
      <c r="P27" s="709">
        <v>428.36019800000003</v>
      </c>
    </row>
    <row r="28" spans="2:17" s="1" customFormat="1" ht="13.35" customHeight="1" x14ac:dyDescent="0.2">
      <c r="B28" s="26"/>
      <c r="C28" s="16" t="s">
        <v>122</v>
      </c>
      <c r="D28" s="338"/>
      <c r="E28" s="708">
        <v>722343</v>
      </c>
      <c r="F28" s="708">
        <v>82383.646225999997</v>
      </c>
      <c r="G28" s="709">
        <v>16227.700499</v>
      </c>
      <c r="H28" s="708">
        <v>766617</v>
      </c>
      <c r="I28" s="708">
        <v>87299.087971000001</v>
      </c>
      <c r="J28" s="709">
        <v>16367.232295</v>
      </c>
      <c r="K28" s="708">
        <v>539505</v>
      </c>
      <c r="L28" s="708">
        <v>61788.095985</v>
      </c>
      <c r="M28" s="709">
        <v>11789.508716</v>
      </c>
      <c r="N28" s="708">
        <v>318128</v>
      </c>
      <c r="O28" s="708">
        <v>40322.698843999999</v>
      </c>
      <c r="P28" s="709">
        <v>7771.5495360000004</v>
      </c>
    </row>
    <row r="29" spans="2:17" customFormat="1" ht="13.35" customHeight="1" x14ac:dyDescent="0.2">
      <c r="B29" s="26"/>
      <c r="C29" s="16" t="s">
        <v>123</v>
      </c>
      <c r="D29" s="338"/>
      <c r="E29" s="708">
        <v>1975</v>
      </c>
      <c r="F29" s="708">
        <v>522.11487999999997</v>
      </c>
      <c r="G29" s="709">
        <v>124.333806</v>
      </c>
      <c r="H29" s="708">
        <v>2096</v>
      </c>
      <c r="I29" s="708">
        <v>553.26700100000005</v>
      </c>
      <c r="J29" s="709">
        <v>125.402874</v>
      </c>
      <c r="K29" s="708">
        <v>2357</v>
      </c>
      <c r="L29" s="708">
        <v>631.56730100000004</v>
      </c>
      <c r="M29" s="709">
        <v>141.091285</v>
      </c>
      <c r="N29" s="708">
        <v>3327</v>
      </c>
      <c r="O29" s="708">
        <v>1029.784193</v>
      </c>
      <c r="P29" s="709">
        <v>245.117368</v>
      </c>
    </row>
    <row r="30" spans="2:17" customFormat="1" ht="13.35" customHeight="1" x14ac:dyDescent="0.2">
      <c r="B30" s="26"/>
      <c r="C30" s="16" t="s">
        <v>124</v>
      </c>
      <c r="D30" s="338"/>
      <c r="E30" s="708">
        <v>33875</v>
      </c>
      <c r="F30" s="708">
        <v>5927.7137169999996</v>
      </c>
      <c r="G30" s="709">
        <v>1108.9378449999999</v>
      </c>
      <c r="H30" s="708">
        <v>35951</v>
      </c>
      <c r="I30" s="708">
        <v>6281.3923020000002</v>
      </c>
      <c r="J30" s="709">
        <v>1118.472904</v>
      </c>
      <c r="K30" s="708">
        <v>39542</v>
      </c>
      <c r="L30" s="708">
        <v>7091.5271849999999</v>
      </c>
      <c r="M30" s="709">
        <v>1266.147279</v>
      </c>
      <c r="N30" s="708">
        <v>41653</v>
      </c>
      <c r="O30" s="708">
        <v>7892.2955810000003</v>
      </c>
      <c r="P30" s="709">
        <v>1387.276433</v>
      </c>
    </row>
    <row r="31" spans="2:17" customFormat="1" ht="13.35" customHeight="1" x14ac:dyDescent="0.2">
      <c r="B31" s="26"/>
      <c r="C31" s="16" t="s">
        <v>130</v>
      </c>
      <c r="D31" s="338"/>
      <c r="E31" s="708">
        <v>17860</v>
      </c>
      <c r="F31" s="708">
        <v>3166.4496060000001</v>
      </c>
      <c r="G31" s="709">
        <v>641.65423399999997</v>
      </c>
      <c r="H31" s="708">
        <v>18955</v>
      </c>
      <c r="I31" s="708">
        <v>3355.3766479999999</v>
      </c>
      <c r="J31" s="709">
        <v>647.17141500000002</v>
      </c>
      <c r="K31" s="708">
        <v>19511</v>
      </c>
      <c r="L31" s="708">
        <v>3684.4307090000002</v>
      </c>
      <c r="M31" s="709">
        <v>719.77299400000004</v>
      </c>
      <c r="N31" s="708">
        <v>19961</v>
      </c>
      <c r="O31" s="708">
        <v>2521.5398399999999</v>
      </c>
      <c r="P31" s="709">
        <v>819.57321300000001</v>
      </c>
    </row>
    <row r="32" spans="2:17" customFormat="1" ht="13.35" customHeight="1" x14ac:dyDescent="0.2">
      <c r="B32" s="26"/>
      <c r="C32" s="16" t="s">
        <v>7</v>
      </c>
      <c r="D32" s="338"/>
      <c r="E32" s="708">
        <v>5616</v>
      </c>
      <c r="F32" s="708">
        <v>905.43174899999997</v>
      </c>
      <c r="G32" s="709">
        <v>180.41452899999999</v>
      </c>
      <c r="H32" s="708">
        <v>5960</v>
      </c>
      <c r="I32" s="708">
        <v>959.45457099999999</v>
      </c>
      <c r="J32" s="709">
        <v>181.9658</v>
      </c>
      <c r="K32" s="708">
        <v>6067</v>
      </c>
      <c r="L32" s="708">
        <v>1061.772385</v>
      </c>
      <c r="M32" s="709">
        <v>206.80427</v>
      </c>
      <c r="N32" s="708">
        <v>7192</v>
      </c>
      <c r="O32" s="708">
        <v>1340.0748599999999</v>
      </c>
      <c r="P32" s="709">
        <v>258.57087200000001</v>
      </c>
    </row>
    <row r="33" spans="2:16" customFormat="1" ht="13.35" customHeight="1" x14ac:dyDescent="0.2">
      <c r="B33" s="26"/>
      <c r="C33" s="16" t="s">
        <v>125</v>
      </c>
      <c r="D33" s="338"/>
      <c r="E33" s="708">
        <v>829</v>
      </c>
      <c r="F33" s="708">
        <v>-4.5280849999999999</v>
      </c>
      <c r="G33" s="709">
        <v>9.5728100000000005</v>
      </c>
      <c r="H33" s="708">
        <v>880</v>
      </c>
      <c r="I33" s="708">
        <v>-4.798254</v>
      </c>
      <c r="J33" s="709">
        <v>9.6551209999999994</v>
      </c>
      <c r="K33" s="708">
        <v>886</v>
      </c>
      <c r="L33" s="708">
        <v>20.568963</v>
      </c>
      <c r="M33" s="709">
        <v>10.708579</v>
      </c>
      <c r="N33" s="708">
        <v>3184</v>
      </c>
      <c r="O33" s="708">
        <v>672.44855800000005</v>
      </c>
      <c r="P33" s="709">
        <v>153.40810300000001</v>
      </c>
    </row>
    <row r="34" spans="2:16" customFormat="1" ht="13.35" customHeight="1" x14ac:dyDescent="0.2">
      <c r="B34" s="26"/>
      <c r="C34" s="16" t="s">
        <v>126</v>
      </c>
      <c r="D34" s="338"/>
      <c r="E34" s="708">
        <v>116158</v>
      </c>
      <c r="F34" s="708">
        <v>22116.906343999999</v>
      </c>
      <c r="G34" s="709">
        <v>4848.2772169999998</v>
      </c>
      <c r="H34" s="708">
        <v>123278</v>
      </c>
      <c r="I34" s="708">
        <v>23436.517330999999</v>
      </c>
      <c r="J34" s="709">
        <v>4889.9645049999999</v>
      </c>
      <c r="K34" s="708">
        <v>152007</v>
      </c>
      <c r="L34" s="708">
        <v>30926.426771999999</v>
      </c>
      <c r="M34" s="709">
        <v>6253.0307030000004</v>
      </c>
      <c r="N34" s="708">
        <v>166240</v>
      </c>
      <c r="O34" s="708">
        <v>37374.4035</v>
      </c>
      <c r="P34" s="709">
        <v>7579.3449849999997</v>
      </c>
    </row>
    <row r="35" spans="2:16" customFormat="1" ht="13.35" customHeight="1" x14ac:dyDescent="0.2">
      <c r="B35" s="26"/>
      <c r="C35" s="16" t="s">
        <v>138</v>
      </c>
      <c r="D35" s="338"/>
      <c r="E35" s="708">
        <v>47323</v>
      </c>
      <c r="F35" s="708">
        <v>8978.1603090000008</v>
      </c>
      <c r="G35" s="709">
        <v>1815.587837</v>
      </c>
      <c r="H35" s="708">
        <v>50223</v>
      </c>
      <c r="I35" s="708">
        <v>9513.8445859999993</v>
      </c>
      <c r="J35" s="709">
        <v>1831.198936</v>
      </c>
      <c r="K35" s="708">
        <v>52718</v>
      </c>
      <c r="L35" s="708">
        <v>10548.782824</v>
      </c>
      <c r="M35" s="709">
        <v>2050.2548879999999</v>
      </c>
      <c r="N35" s="708">
        <v>61911</v>
      </c>
      <c r="O35" s="708">
        <v>13440.829508000001</v>
      </c>
      <c r="P35" s="709">
        <v>2669.9177719999998</v>
      </c>
    </row>
    <row r="36" spans="2:16" customFormat="1" ht="13.35" customHeight="1" x14ac:dyDescent="0.2">
      <c r="B36" s="26"/>
      <c r="C36" s="16" t="s">
        <v>127</v>
      </c>
      <c r="D36" s="338"/>
      <c r="E36" s="708">
        <v>83707</v>
      </c>
      <c r="F36" s="708">
        <v>17718.147453000001</v>
      </c>
      <c r="G36" s="709">
        <v>3995.3026479999999</v>
      </c>
      <c r="H36" s="708">
        <v>88838</v>
      </c>
      <c r="I36" s="708">
        <v>18775.305343</v>
      </c>
      <c r="J36" s="709">
        <v>4029.6557440000001</v>
      </c>
      <c r="K36" s="708">
        <v>98112</v>
      </c>
      <c r="L36" s="708">
        <v>20841.600847999998</v>
      </c>
      <c r="M36" s="709">
        <v>4432.9895100000003</v>
      </c>
      <c r="N36" s="708">
        <v>106717</v>
      </c>
      <c r="O36" s="708">
        <v>24645.951917999999</v>
      </c>
      <c r="P36" s="709">
        <v>5327.3615069999996</v>
      </c>
    </row>
    <row r="37" spans="2:16" customFormat="1" ht="13.35" customHeight="1" x14ac:dyDescent="0.2">
      <c r="B37" s="26"/>
      <c r="C37" s="16" t="s">
        <v>139</v>
      </c>
      <c r="D37" s="338"/>
      <c r="E37" s="708">
        <v>7368</v>
      </c>
      <c r="F37" s="708">
        <v>1206.9723260000001</v>
      </c>
      <c r="G37" s="709">
        <v>249.61293900000001</v>
      </c>
      <c r="H37" s="708">
        <v>7820</v>
      </c>
      <c r="I37" s="708">
        <v>1278.986645</v>
      </c>
      <c r="J37" s="709">
        <v>251.75920400000001</v>
      </c>
      <c r="K37" s="708">
        <v>15174</v>
      </c>
      <c r="L37" s="708">
        <v>2178.9696439999998</v>
      </c>
      <c r="M37" s="709">
        <v>377.26882000000001</v>
      </c>
      <c r="N37" s="708">
        <v>13694</v>
      </c>
      <c r="O37" s="708">
        <v>2314.9635589999998</v>
      </c>
      <c r="P37" s="709">
        <v>420.25036999999998</v>
      </c>
    </row>
    <row r="38" spans="2:16" customFormat="1" ht="13.35" customHeight="1" x14ac:dyDescent="0.2">
      <c r="B38" s="525"/>
      <c r="C38" s="647" t="s">
        <v>0</v>
      </c>
      <c r="D38" s="434"/>
      <c r="E38" s="710">
        <f>E50</f>
        <v>306760</v>
      </c>
      <c r="F38" s="710">
        <f t="shared" ref="F38:P38" si="0">F50</f>
        <v>22978.986575999999</v>
      </c>
      <c r="G38" s="711">
        <f t="shared" si="0"/>
        <v>4686.7140140000365</v>
      </c>
      <c r="H38" s="710">
        <f t="shared" si="0"/>
        <v>325559</v>
      </c>
      <c r="I38" s="710">
        <f t="shared" si="0"/>
        <v>24350.033804999999</v>
      </c>
      <c r="J38" s="711">
        <f t="shared" si="0"/>
        <v>4727.0121210000161</v>
      </c>
      <c r="K38" s="710">
        <f t="shared" si="0"/>
        <v>387236</v>
      </c>
      <c r="L38" s="710">
        <f t="shared" si="0"/>
        <v>38259.959549000007</v>
      </c>
      <c r="M38" s="711">
        <f t="shared" si="0"/>
        <v>7374.074092999932</v>
      </c>
      <c r="N38" s="710">
        <f t="shared" si="0"/>
        <v>201545</v>
      </c>
      <c r="O38" s="710">
        <f t="shared" si="0"/>
        <v>13711.228178999998</v>
      </c>
      <c r="P38" s="711">
        <f t="shared" si="0"/>
        <v>3950.303466000038</v>
      </c>
    </row>
    <row r="39" spans="2:16" customFormat="1" ht="13.35" customHeight="1" x14ac:dyDescent="0.2">
      <c r="B39" s="525"/>
      <c r="C39" s="635" t="s">
        <v>8</v>
      </c>
      <c r="D39" s="636"/>
      <c r="E39" s="712">
        <f t="shared" ref="E39:P39" si="1">SUM(E4:E38)</f>
        <v>4712709</v>
      </c>
      <c r="F39" s="712">
        <f t="shared" si="1"/>
        <v>818509.86848700012</v>
      </c>
      <c r="G39" s="713">
        <f t="shared" si="1"/>
        <v>172641.01225700008</v>
      </c>
      <c r="H39" s="712">
        <f t="shared" si="1"/>
        <v>5001558</v>
      </c>
      <c r="I39" s="712">
        <f t="shared" si="1"/>
        <v>867346.47333099984</v>
      </c>
      <c r="J39" s="713">
        <f t="shared" si="1"/>
        <v>174125.44379600001</v>
      </c>
      <c r="K39" s="712">
        <f t="shared" si="1"/>
        <v>5199360</v>
      </c>
      <c r="L39" s="712">
        <f t="shared" si="1"/>
        <v>962782.58748000034</v>
      </c>
      <c r="M39" s="713">
        <f t="shared" si="1"/>
        <v>193502.82702099998</v>
      </c>
      <c r="N39" s="712">
        <f t="shared" si="1"/>
        <v>5108207</v>
      </c>
      <c r="O39" s="712">
        <f t="shared" si="1"/>
        <v>1023935.7377770003</v>
      </c>
      <c r="P39" s="713">
        <f t="shared" si="1"/>
        <v>206668.34961500001</v>
      </c>
    </row>
    <row r="40" spans="2:16" customFormat="1" ht="12" customHeight="1" x14ac:dyDescent="0.2">
      <c r="B40" s="148"/>
      <c r="C40" s="29" t="s">
        <v>486</v>
      </c>
      <c r="D40" s="148"/>
      <c r="E40" s="80"/>
      <c r="F40" s="80"/>
      <c r="G40" s="80"/>
      <c r="H40" s="80"/>
      <c r="I40" s="80"/>
      <c r="J40" s="80"/>
      <c r="K40" s="80"/>
      <c r="L40" s="80"/>
      <c r="M40" s="80"/>
      <c r="N40" s="80"/>
      <c r="O40" s="80"/>
      <c r="P40" s="80"/>
    </row>
    <row r="41" spans="2:16" customFormat="1" ht="12" customHeight="1" x14ac:dyDescent="0.2">
      <c r="B41" s="1"/>
      <c r="C41" s="29" t="s">
        <v>375</v>
      </c>
      <c r="D41" s="1"/>
      <c r="E41" s="1"/>
      <c r="F41" s="1"/>
      <c r="G41" s="1"/>
      <c r="H41" s="1"/>
      <c r="I41" s="1"/>
      <c r="J41" s="1"/>
      <c r="K41" s="1"/>
      <c r="L41" s="1"/>
      <c r="M41" s="1"/>
      <c r="N41" s="1"/>
      <c r="O41" s="1"/>
      <c r="P41" s="1"/>
    </row>
    <row r="42" spans="2:16" customFormat="1" ht="13.35" customHeight="1" x14ac:dyDescent="0.2">
      <c r="K42" s="1"/>
      <c r="L42" s="1"/>
    </row>
    <row r="43" spans="2:16" customFormat="1" ht="13.35" customHeight="1" x14ac:dyDescent="0.2">
      <c r="H43" s="352" t="s">
        <v>371</v>
      </c>
      <c r="I43" s="352"/>
      <c r="K43" s="1"/>
      <c r="L43" s="1"/>
    </row>
    <row r="44" spans="2:16" customFormat="1" ht="13.35" customHeight="1" x14ac:dyDescent="0.2">
      <c r="K44" s="1"/>
      <c r="L44" s="1"/>
    </row>
    <row r="45" spans="2:16" customFormat="1" ht="13.35" customHeight="1" x14ac:dyDescent="0.2">
      <c r="K45" s="1"/>
      <c r="L45" s="1"/>
    </row>
    <row r="46" spans="2:16" customFormat="1" ht="13.35" customHeight="1" x14ac:dyDescent="0.2">
      <c r="K46" s="1"/>
      <c r="L46" s="1"/>
    </row>
    <row r="47" spans="2:16" s="21" customFormat="1" ht="13.35" hidden="1" customHeight="1" x14ac:dyDescent="0.2">
      <c r="B47" s="3"/>
      <c r="C47" s="17"/>
      <c r="D47" s="97" t="s">
        <v>228</v>
      </c>
      <c r="E47" s="98">
        <f>E39-A2.1.1!E29</f>
        <v>0</v>
      </c>
      <c r="F47" s="98">
        <f>F39-A2.1.1!F29</f>
        <v>0</v>
      </c>
      <c r="G47" s="98">
        <f>G39-A2.1.1!G29</f>
        <v>2.0000734366476536E-6</v>
      </c>
      <c r="H47" s="98">
        <f>H39-A2.1.1!H29</f>
        <v>0</v>
      </c>
      <c r="I47" s="98">
        <f>I39-A2.1.1!I29</f>
        <v>0</v>
      </c>
      <c r="J47" s="98">
        <f>J39-A2.1.1!J29</f>
        <v>0</v>
      </c>
      <c r="K47" s="98">
        <f>K39-A2.1.1!K29</f>
        <v>0</v>
      </c>
      <c r="L47" s="98">
        <f>L39-A2.1.1!L29</f>
        <v>0</v>
      </c>
      <c r="M47" s="98">
        <f>M39-A2.1.1!M29</f>
        <v>0</v>
      </c>
      <c r="N47" s="98">
        <f>N39-A2.1.1!N29</f>
        <v>0</v>
      </c>
      <c r="O47" s="98">
        <f>O39-A2.1.1!O29</f>
        <v>0</v>
      </c>
      <c r="P47" s="99">
        <f>P39-A2.1.1!P29</f>
        <v>0</v>
      </c>
    </row>
    <row r="48" spans="2:16" customFormat="1" ht="13.35" hidden="1" customHeight="1" x14ac:dyDescent="0.2">
      <c r="K48" s="1"/>
      <c r="L48" s="1"/>
    </row>
    <row r="49" spans="4:16" customFormat="1" ht="13.35" hidden="1" customHeight="1" x14ac:dyDescent="0.2">
      <c r="K49" s="1"/>
      <c r="L49" s="1"/>
    </row>
    <row r="50" spans="4:16" customFormat="1" ht="13.35" hidden="1" customHeight="1" x14ac:dyDescent="0.2">
      <c r="D50" s="181" t="s">
        <v>4</v>
      </c>
      <c r="E50" s="182">
        <f>SUM(E51:E57)</f>
        <v>306760</v>
      </c>
      <c r="F50" s="182">
        <f t="shared" ref="F50:P50" si="2">SUM(F51:F57)</f>
        <v>22978.986575999999</v>
      </c>
      <c r="G50" s="182">
        <f t="shared" si="2"/>
        <v>4686.7140140000365</v>
      </c>
      <c r="H50" s="182">
        <f t="shared" si="2"/>
        <v>325559</v>
      </c>
      <c r="I50" s="182">
        <f t="shared" si="2"/>
        <v>24350.033804999999</v>
      </c>
      <c r="J50" s="182">
        <f t="shared" si="2"/>
        <v>4727.0121210000161</v>
      </c>
      <c r="K50" s="182">
        <f t="shared" si="2"/>
        <v>387236</v>
      </c>
      <c r="L50" s="182">
        <f t="shared" si="2"/>
        <v>38259.959549000007</v>
      </c>
      <c r="M50" s="182">
        <f t="shared" si="2"/>
        <v>7374.074092999932</v>
      </c>
      <c r="N50" s="182">
        <f t="shared" si="2"/>
        <v>201545</v>
      </c>
      <c r="O50" s="182">
        <f t="shared" si="2"/>
        <v>13711.228178999998</v>
      </c>
      <c r="P50" s="183">
        <f t="shared" si="2"/>
        <v>3950.303466000038</v>
      </c>
    </row>
    <row r="51" spans="4:16" customFormat="1" ht="13.35" hidden="1" customHeight="1" x14ac:dyDescent="0.2">
      <c r="D51" s="179" t="s">
        <v>451</v>
      </c>
      <c r="E51" s="175">
        <v>306757</v>
      </c>
      <c r="F51" s="175">
        <v>22978.986575999999</v>
      </c>
      <c r="G51" s="175">
        <v>4686.7140129999998</v>
      </c>
      <c r="H51" s="175">
        <v>166471</v>
      </c>
      <c r="I51" s="175">
        <v>14481.936836999999</v>
      </c>
      <c r="J51" s="175">
        <v>1929.034388</v>
      </c>
      <c r="K51" s="175">
        <v>248321</v>
      </c>
      <c r="L51" s="175">
        <v>29893.517447999999</v>
      </c>
      <c r="M51" s="175">
        <v>4933.3443180000004</v>
      </c>
      <c r="N51" s="175">
        <v>89405</v>
      </c>
      <c r="O51" s="175">
        <v>5742.1699589999998</v>
      </c>
      <c r="P51" s="176">
        <v>1668.8521430000001</v>
      </c>
    </row>
    <row r="52" spans="4:16" customFormat="1" ht="13.35" hidden="1" customHeight="1" x14ac:dyDescent="0.2">
      <c r="D52" s="179" t="s">
        <v>413</v>
      </c>
      <c r="E52" s="175">
        <v>0</v>
      </c>
      <c r="F52" s="175">
        <v>0</v>
      </c>
      <c r="G52" s="175">
        <v>0</v>
      </c>
      <c r="H52" s="175">
        <v>257</v>
      </c>
      <c r="I52" s="175">
        <v>108.11440399999999</v>
      </c>
      <c r="J52" s="175">
        <v>37.314554999999999</v>
      </c>
      <c r="K52" s="175">
        <v>86</v>
      </c>
      <c r="L52" s="175">
        <v>23.365859</v>
      </c>
      <c r="M52" s="175">
        <v>6.4278029999999999</v>
      </c>
      <c r="N52" s="175">
        <v>41</v>
      </c>
      <c r="O52" s="175">
        <v>17.835858000000002</v>
      </c>
      <c r="P52" s="176">
        <v>4.9652289999999999</v>
      </c>
    </row>
    <row r="53" spans="4:16" customFormat="1" ht="13.35" hidden="1" customHeight="1" x14ac:dyDescent="0.2">
      <c r="D53" s="179" t="s">
        <v>414</v>
      </c>
      <c r="E53" s="175">
        <v>0</v>
      </c>
      <c r="F53" s="175">
        <v>0</v>
      </c>
      <c r="G53" s="175">
        <v>0</v>
      </c>
      <c r="H53" s="175">
        <v>151068</v>
      </c>
      <c r="I53" s="175">
        <v>9346.031223</v>
      </c>
      <c r="J53" s="175">
        <v>2683.0352579999999</v>
      </c>
      <c r="K53" s="175">
        <v>137572</v>
      </c>
      <c r="L53" s="175">
        <v>8272.1701489999996</v>
      </c>
      <c r="M53" s="175">
        <v>2417.0450949999999</v>
      </c>
      <c r="N53" s="175">
        <v>111338</v>
      </c>
      <c r="O53" s="175">
        <v>7883.6103700000003</v>
      </c>
      <c r="P53" s="176">
        <v>2261.5464860000002</v>
      </c>
    </row>
    <row r="54" spans="4:16" customFormat="1" ht="13.35" hidden="1" customHeight="1" x14ac:dyDescent="0.2">
      <c r="D54" s="179" t="s">
        <v>416</v>
      </c>
      <c r="E54" s="175">
        <v>0</v>
      </c>
      <c r="F54" s="175">
        <v>0</v>
      </c>
      <c r="G54" s="175">
        <v>0</v>
      </c>
      <c r="H54" s="175">
        <v>108</v>
      </c>
      <c r="I54" s="175">
        <v>4.7099640000000003</v>
      </c>
      <c r="J54" s="175">
        <v>1.3656900000000001</v>
      </c>
      <c r="K54" s="175">
        <v>16</v>
      </c>
      <c r="L54" s="175">
        <v>0.55532700000000002</v>
      </c>
      <c r="M54" s="175">
        <v>9.2179999999999998E-2</v>
      </c>
      <c r="N54" s="175">
        <v>1</v>
      </c>
      <c r="O54" s="175">
        <v>9.4273999999999997E-2</v>
      </c>
      <c r="P54" s="176">
        <v>1.6057999999999999E-2</v>
      </c>
    </row>
    <row r="55" spans="4:16" customFormat="1" ht="13.35" hidden="1" customHeight="1" x14ac:dyDescent="0.2">
      <c r="D55" s="179" t="s">
        <v>417</v>
      </c>
      <c r="E55" s="175">
        <v>0</v>
      </c>
      <c r="F55" s="175">
        <v>0</v>
      </c>
      <c r="G55" s="175">
        <v>0</v>
      </c>
      <c r="H55" s="175">
        <v>6861</v>
      </c>
      <c r="I55" s="175">
        <v>377.594605</v>
      </c>
      <c r="J55" s="175">
        <v>68.417540000000002</v>
      </c>
      <c r="K55" s="175">
        <v>798</v>
      </c>
      <c r="L55" s="175">
        <v>27.028047000000001</v>
      </c>
      <c r="M55" s="175">
        <v>5.3275170000000003</v>
      </c>
      <c r="N55" s="175">
        <v>239</v>
      </c>
      <c r="O55" s="175">
        <v>11.424427</v>
      </c>
      <c r="P55" s="176">
        <v>2.6413530000000001</v>
      </c>
    </row>
    <row r="56" spans="4:16" customFormat="1" ht="13.35" hidden="1" customHeight="1" x14ac:dyDescent="0.2">
      <c r="D56" s="179" t="s">
        <v>423</v>
      </c>
      <c r="E56" s="175">
        <v>0</v>
      </c>
      <c r="F56" s="175">
        <v>0</v>
      </c>
      <c r="G56" s="175">
        <v>0</v>
      </c>
      <c r="H56" s="175">
        <v>794</v>
      </c>
      <c r="I56" s="175">
        <v>31.646771999999999</v>
      </c>
      <c r="J56" s="175">
        <v>7.8447719999999999</v>
      </c>
      <c r="K56" s="175">
        <v>443</v>
      </c>
      <c r="L56" s="175">
        <v>43.322718999999999</v>
      </c>
      <c r="M56" s="175">
        <v>11.837120000000001</v>
      </c>
      <c r="N56" s="175">
        <v>521</v>
      </c>
      <c r="O56" s="175">
        <v>56.093291000000001</v>
      </c>
      <c r="P56" s="176">
        <v>12.282215000000001</v>
      </c>
    </row>
    <row r="57" spans="4:16" customFormat="1" ht="13.35" hidden="1" customHeight="1" x14ac:dyDescent="0.2">
      <c r="D57" s="180" t="s">
        <v>231</v>
      </c>
      <c r="E57" s="177">
        <v>3</v>
      </c>
      <c r="F57" s="177">
        <v>0</v>
      </c>
      <c r="G57" s="177">
        <v>1.0000367183238268E-6</v>
      </c>
      <c r="H57" s="177">
        <v>0</v>
      </c>
      <c r="I57" s="177">
        <v>0</v>
      </c>
      <c r="J57" s="177">
        <v>-8.1999984104186296E-5</v>
      </c>
      <c r="K57" s="177">
        <v>0</v>
      </c>
      <c r="L57" s="177">
        <v>0</v>
      </c>
      <c r="M57" s="177">
        <v>5.9999933000654002E-5</v>
      </c>
      <c r="N57" s="177">
        <v>0</v>
      </c>
      <c r="O57" s="177">
        <v>0</v>
      </c>
      <c r="P57" s="178">
        <v>-1.79999624378979E-5</v>
      </c>
    </row>
    <row r="58" spans="4:16" customFormat="1" ht="13.35" customHeight="1" x14ac:dyDescent="0.25">
      <c r="D58" s="45"/>
      <c r="E58" s="44"/>
      <c r="F58" s="44"/>
      <c r="G58" s="44"/>
      <c r="H58" s="44"/>
      <c r="I58" s="44"/>
      <c r="J58" s="44"/>
      <c r="K58" s="64"/>
      <c r="L58" s="64"/>
      <c r="M58" s="44"/>
      <c r="N58" s="44"/>
      <c r="O58" s="44"/>
      <c r="P58" s="44"/>
    </row>
    <row r="59" spans="4:16" customFormat="1" ht="13.35" customHeight="1" x14ac:dyDescent="0.25">
      <c r="D59" s="45"/>
      <c r="E59" s="44"/>
      <c r="F59" s="44"/>
      <c r="G59" s="44"/>
      <c r="H59" s="44"/>
      <c r="I59" s="44"/>
      <c r="J59" s="44"/>
      <c r="K59" s="64"/>
      <c r="L59" s="64"/>
    </row>
    <row r="60" spans="4:16" x14ac:dyDescent="0.2">
      <c r="E60" s="62"/>
      <c r="F60" s="62"/>
      <c r="G60" s="6"/>
      <c r="H60" s="62"/>
      <c r="I60" s="62"/>
      <c r="K60" s="628"/>
    </row>
    <row r="61" spans="4:16" x14ac:dyDescent="0.2">
      <c r="E61" s="62"/>
      <c r="F61" s="62"/>
      <c r="G61" s="6"/>
      <c r="H61" s="62"/>
      <c r="I61" s="62"/>
      <c r="K61" s="628"/>
    </row>
    <row r="62" spans="4:16" x14ac:dyDescent="0.2">
      <c r="E62" s="62"/>
      <c r="F62" s="62"/>
      <c r="G62" s="6"/>
      <c r="H62" s="62"/>
      <c r="I62" s="62"/>
      <c r="K62" s="628"/>
    </row>
    <row r="63" spans="4:16" x14ac:dyDescent="0.2">
      <c r="E63" s="62"/>
      <c r="F63" s="62"/>
      <c r="G63" s="6"/>
      <c r="H63" s="62"/>
      <c r="I63" s="62"/>
      <c r="K63" s="628"/>
    </row>
    <row r="64" spans="4:16" x14ac:dyDescent="0.2">
      <c r="E64" s="62"/>
      <c r="F64" s="62"/>
      <c r="G64" s="6"/>
      <c r="H64" s="62"/>
      <c r="I64" s="62"/>
      <c r="K64" s="628"/>
    </row>
    <row r="65" spans="5:11" x14ac:dyDescent="0.2">
      <c r="E65" s="62"/>
      <c r="F65" s="62"/>
      <c r="G65" s="6"/>
      <c r="H65" s="62"/>
      <c r="I65" s="62"/>
      <c r="K65" s="628"/>
    </row>
    <row r="66" spans="5:11" x14ac:dyDescent="0.2">
      <c r="E66" s="62"/>
      <c r="F66" s="62"/>
      <c r="G66" s="6"/>
      <c r="H66" s="62"/>
      <c r="I66" s="62"/>
      <c r="K66" s="628"/>
    </row>
    <row r="67" spans="5:11" x14ac:dyDescent="0.2">
      <c r="E67" s="62"/>
      <c r="F67" s="62"/>
      <c r="G67" s="6"/>
      <c r="H67" s="62"/>
      <c r="I67" s="62"/>
      <c r="K67" s="628"/>
    </row>
    <row r="68" spans="5:11" x14ac:dyDescent="0.2">
      <c r="E68" s="62"/>
      <c r="F68" s="62"/>
      <c r="G68" s="6"/>
      <c r="H68" s="62"/>
      <c r="I68" s="62"/>
      <c r="K68" s="628"/>
    </row>
    <row r="69" spans="5:11" x14ac:dyDescent="0.2">
      <c r="E69" s="62"/>
      <c r="F69" s="62"/>
      <c r="G69" s="6"/>
      <c r="H69" s="62"/>
      <c r="I69" s="62"/>
      <c r="K69" s="628"/>
    </row>
    <row r="70" spans="5:11" x14ac:dyDescent="0.2">
      <c r="E70" s="62"/>
      <c r="F70" s="62"/>
      <c r="G70" s="6"/>
      <c r="H70" s="62"/>
      <c r="I70" s="62"/>
      <c r="K70" s="628"/>
    </row>
    <row r="71" spans="5:11" x14ac:dyDescent="0.2">
      <c r="E71" s="62"/>
      <c r="F71" s="62"/>
      <c r="G71" s="6"/>
      <c r="H71" s="62"/>
      <c r="I71" s="62"/>
      <c r="K71" s="628"/>
    </row>
    <row r="72" spans="5:11" x14ac:dyDescent="0.2">
      <c r="E72" s="62"/>
      <c r="F72" s="62"/>
      <c r="G72" s="6"/>
      <c r="H72" s="62"/>
      <c r="I72" s="62"/>
      <c r="K72" s="628"/>
    </row>
    <row r="73" spans="5:11" x14ac:dyDescent="0.2">
      <c r="E73" s="62"/>
      <c r="F73" s="62"/>
      <c r="G73" s="6"/>
      <c r="H73" s="62"/>
      <c r="I73" s="62"/>
      <c r="K73" s="628"/>
    </row>
    <row r="74" spans="5:11" x14ac:dyDescent="0.2">
      <c r="E74" s="62"/>
      <c r="F74" s="62"/>
      <c r="G74" s="6"/>
      <c r="H74" s="62"/>
      <c r="I74" s="62"/>
      <c r="K74" s="628"/>
    </row>
    <row r="75" spans="5:11" x14ac:dyDescent="0.2">
      <c r="E75" s="62"/>
      <c r="F75" s="62"/>
      <c r="G75" s="6"/>
      <c r="H75" s="62"/>
      <c r="I75" s="62"/>
      <c r="K75" s="628"/>
    </row>
    <row r="76" spans="5:11" x14ac:dyDescent="0.2">
      <c r="E76" s="62"/>
      <c r="F76" s="62"/>
      <c r="G76" s="6"/>
      <c r="H76" s="62"/>
      <c r="I76" s="62"/>
      <c r="K76" s="628"/>
    </row>
    <row r="77" spans="5:11" x14ac:dyDescent="0.2">
      <c r="E77" s="62"/>
      <c r="F77" s="62"/>
      <c r="G77" s="6"/>
      <c r="H77" s="62"/>
      <c r="I77" s="62"/>
      <c r="K77" s="628"/>
    </row>
    <row r="78" spans="5:11" x14ac:dyDescent="0.2">
      <c r="E78" s="62"/>
      <c r="F78" s="62"/>
      <c r="G78" s="6"/>
      <c r="H78" s="62"/>
      <c r="I78" s="62"/>
      <c r="K78" s="628"/>
    </row>
    <row r="79" spans="5:11" x14ac:dyDescent="0.2">
      <c r="E79" s="62"/>
      <c r="F79" s="62"/>
      <c r="G79" s="6"/>
      <c r="H79" s="62"/>
      <c r="I79" s="62"/>
      <c r="K79" s="628"/>
    </row>
    <row r="80" spans="5:11" x14ac:dyDescent="0.2">
      <c r="E80" s="62"/>
      <c r="F80" s="62"/>
      <c r="G80" s="6"/>
      <c r="H80" s="62"/>
      <c r="I80" s="62"/>
      <c r="K80" s="628"/>
    </row>
    <row r="81" spans="5:11" x14ac:dyDescent="0.2">
      <c r="E81" s="62"/>
      <c r="F81" s="62"/>
      <c r="G81" s="6"/>
      <c r="H81" s="62"/>
      <c r="I81" s="62"/>
      <c r="K81" s="628"/>
    </row>
    <row r="82" spans="5:11" x14ac:dyDescent="0.2">
      <c r="E82" s="62"/>
      <c r="F82" s="62"/>
      <c r="G82" s="6"/>
      <c r="H82" s="62"/>
      <c r="I82" s="62"/>
      <c r="K82" s="628"/>
    </row>
    <row r="83" spans="5:11" x14ac:dyDescent="0.2">
      <c r="E83" s="62"/>
      <c r="F83" s="62"/>
      <c r="G83" s="6"/>
      <c r="H83" s="62"/>
      <c r="I83" s="62"/>
      <c r="K83" s="628"/>
    </row>
    <row r="84" spans="5:11" x14ac:dyDescent="0.2">
      <c r="E84" s="62"/>
      <c r="F84" s="62"/>
      <c r="G84" s="6"/>
      <c r="H84" s="62"/>
      <c r="I84" s="62"/>
      <c r="K84" s="628"/>
    </row>
    <row r="85" spans="5:11" x14ac:dyDescent="0.2">
      <c r="E85" s="62"/>
      <c r="F85" s="62"/>
      <c r="G85" s="6"/>
      <c r="H85" s="62"/>
      <c r="I85" s="62"/>
      <c r="K85" s="628"/>
    </row>
    <row r="86" spans="5:11" x14ac:dyDescent="0.2">
      <c r="E86" s="62"/>
      <c r="F86" s="62"/>
      <c r="G86" s="6"/>
      <c r="H86" s="62"/>
      <c r="I86" s="62"/>
      <c r="K86" s="628"/>
    </row>
    <row r="87" spans="5:11" x14ac:dyDescent="0.2">
      <c r="E87" s="62"/>
      <c r="F87" s="62"/>
      <c r="G87" s="6"/>
      <c r="H87" s="62"/>
      <c r="I87" s="62"/>
      <c r="K87" s="628"/>
    </row>
    <row r="88" spans="5:11" x14ac:dyDescent="0.2">
      <c r="E88" s="62"/>
      <c r="F88" s="62"/>
      <c r="G88" s="6"/>
      <c r="H88" s="62"/>
      <c r="I88" s="62"/>
      <c r="K88" s="628"/>
    </row>
    <row r="89" spans="5:11" x14ac:dyDescent="0.2">
      <c r="E89" s="62"/>
      <c r="F89" s="62"/>
      <c r="G89" s="6"/>
      <c r="H89" s="62"/>
      <c r="I89" s="62"/>
      <c r="K89" s="628"/>
    </row>
    <row r="90" spans="5:11" x14ac:dyDescent="0.2">
      <c r="E90" s="62"/>
      <c r="F90" s="62"/>
      <c r="G90" s="6"/>
      <c r="H90" s="62"/>
      <c r="I90" s="62"/>
      <c r="K90" s="628"/>
    </row>
    <row r="91" spans="5:11" x14ac:dyDescent="0.2">
      <c r="E91" s="62"/>
      <c r="F91" s="62"/>
      <c r="G91" s="6"/>
      <c r="H91" s="62"/>
      <c r="I91" s="62"/>
      <c r="K91" s="628"/>
    </row>
    <row r="92" spans="5:11" x14ac:dyDescent="0.2">
      <c r="E92" s="62"/>
      <c r="F92" s="62"/>
      <c r="G92" s="6"/>
      <c r="H92" s="62"/>
      <c r="I92" s="62"/>
      <c r="K92" s="628"/>
    </row>
    <row r="93" spans="5:11" x14ac:dyDescent="0.2">
      <c r="E93" s="62"/>
      <c r="F93" s="62"/>
      <c r="G93" s="6"/>
      <c r="H93" s="62"/>
      <c r="I93" s="62"/>
      <c r="K93" s="628"/>
    </row>
    <row r="94" spans="5:11" x14ac:dyDescent="0.2">
      <c r="E94" s="62"/>
      <c r="F94" s="62"/>
      <c r="G94" s="6"/>
      <c r="H94" s="62"/>
      <c r="I94" s="62"/>
      <c r="K94" s="628"/>
    </row>
    <row r="95" spans="5:11" x14ac:dyDescent="0.2">
      <c r="E95" s="62"/>
      <c r="F95" s="62"/>
      <c r="G95" s="6"/>
      <c r="H95" s="62"/>
      <c r="I95" s="62"/>
      <c r="K95" s="628"/>
    </row>
    <row r="96" spans="5:11" x14ac:dyDescent="0.2">
      <c r="E96" s="62"/>
      <c r="F96" s="62"/>
      <c r="G96" s="6"/>
      <c r="H96" s="62"/>
      <c r="I96" s="62"/>
      <c r="K96" s="628"/>
    </row>
    <row r="97" spans="5:11" x14ac:dyDescent="0.2">
      <c r="E97" s="62"/>
      <c r="F97" s="62"/>
      <c r="G97" s="6"/>
      <c r="H97" s="62"/>
      <c r="I97" s="62"/>
      <c r="K97" s="628"/>
    </row>
    <row r="98" spans="5:11" x14ac:dyDescent="0.2">
      <c r="E98" s="62"/>
      <c r="F98" s="62"/>
      <c r="G98" s="6"/>
      <c r="H98" s="62"/>
      <c r="I98" s="62"/>
      <c r="K98" s="628"/>
    </row>
    <row r="99" spans="5:11" x14ac:dyDescent="0.2">
      <c r="E99" s="62"/>
      <c r="F99" s="62"/>
      <c r="G99" s="6"/>
      <c r="H99" s="62"/>
      <c r="I99" s="62"/>
      <c r="K99" s="628"/>
    </row>
    <row r="100" spans="5:11" x14ac:dyDescent="0.2">
      <c r="E100" s="62"/>
      <c r="F100" s="62"/>
      <c r="G100" s="6"/>
      <c r="H100" s="62"/>
      <c r="I100" s="62"/>
      <c r="K100" s="628"/>
    </row>
    <row r="101" spans="5:11" x14ac:dyDescent="0.2">
      <c r="E101" s="62"/>
      <c r="F101" s="62"/>
      <c r="G101" s="6"/>
      <c r="H101" s="62"/>
      <c r="I101" s="62"/>
      <c r="K101" s="628"/>
    </row>
  </sheetData>
  <mergeCells count="1">
    <mergeCell ref="C3:D3"/>
  </mergeCells>
  <phoneticPr fontId="10" type="noConversion"/>
  <hyperlinks>
    <hyperlink ref="H43" location="CONTENTS!A1" display="BACK TO CONTENTS"/>
  </hyperlinks>
  <pageMargins left="0.98425196850393704" right="0.98425196850393704" top="0.98425196850393704" bottom="0.98425196850393704" header="0.51181102362204722" footer="0.51181102362204722"/>
  <pageSetup paperSize="9" scale="8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theme="7" tint="0.79998168889431442"/>
    <pageSetUpPr fitToPage="1"/>
  </sheetPr>
  <dimension ref="B1:S47"/>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37.7109375" style="2" customWidth="1"/>
    <col min="5" max="7" width="8.7109375" style="2" customWidth="1"/>
    <col min="8" max="9" width="8.7109375" style="14" customWidth="1"/>
    <col min="10" max="16" width="8.7109375" style="6" customWidth="1"/>
    <col min="17" max="17" width="9.140625" style="6"/>
    <col min="18" max="19" width="8.7109375" style="6" customWidth="1"/>
    <col min="20" max="16384" width="9.140625" style="10"/>
  </cols>
  <sheetData>
    <row r="1" spans="2:19" s="8" customFormat="1" ht="15" customHeight="1" x14ac:dyDescent="0.2">
      <c r="B1" s="439" t="s">
        <v>456</v>
      </c>
      <c r="C1" s="311"/>
      <c r="D1" s="51"/>
      <c r="E1" s="70"/>
      <c r="F1" s="70"/>
      <c r="G1" s="70"/>
      <c r="H1" s="61"/>
      <c r="I1" s="61"/>
      <c r="J1" s="5"/>
      <c r="K1" s="4"/>
      <c r="L1" s="4"/>
      <c r="M1" s="4"/>
      <c r="N1" s="4"/>
      <c r="O1" s="4"/>
      <c r="P1" s="4"/>
      <c r="Q1" s="4"/>
      <c r="R1" s="4"/>
      <c r="S1" s="4"/>
    </row>
    <row r="2" spans="2:19" s="8" customFormat="1" ht="15" customHeight="1" x14ac:dyDescent="0.2">
      <c r="B2" s="463"/>
      <c r="C2" s="464" t="s">
        <v>168</v>
      </c>
      <c r="D2" s="526"/>
      <c r="E2" s="466" t="s">
        <v>576</v>
      </c>
      <c r="F2" s="467"/>
      <c r="G2" s="468"/>
      <c r="H2" s="469" t="s">
        <v>577</v>
      </c>
      <c r="I2" s="467"/>
      <c r="J2" s="468"/>
      <c r="K2" s="469" t="s">
        <v>578</v>
      </c>
      <c r="L2" s="467"/>
      <c r="M2" s="468"/>
      <c r="N2" s="469" t="s">
        <v>579</v>
      </c>
      <c r="O2" s="467"/>
      <c r="P2" s="468"/>
      <c r="Q2" s="4"/>
      <c r="R2" s="4"/>
      <c r="S2" s="4"/>
    </row>
    <row r="3" spans="2:19" ht="33.75" x14ac:dyDescent="0.2">
      <c r="B3" s="470"/>
      <c r="C3" s="1029" t="s">
        <v>195</v>
      </c>
      <c r="D3" s="1006"/>
      <c r="E3" s="621" t="s">
        <v>17</v>
      </c>
      <c r="F3" s="621" t="s">
        <v>80</v>
      </c>
      <c r="G3" s="622" t="s">
        <v>81</v>
      </c>
      <c r="H3" s="621" t="s">
        <v>17</v>
      </c>
      <c r="I3" s="621" t="s">
        <v>80</v>
      </c>
      <c r="J3" s="622" t="s">
        <v>81</v>
      </c>
      <c r="K3" s="621" t="s">
        <v>17</v>
      </c>
      <c r="L3" s="621" t="s">
        <v>80</v>
      </c>
      <c r="M3" s="622" t="s">
        <v>81</v>
      </c>
      <c r="N3" s="621" t="s">
        <v>17</v>
      </c>
      <c r="O3" s="621" t="s">
        <v>80</v>
      </c>
      <c r="P3" s="622" t="s">
        <v>81</v>
      </c>
      <c r="S3" s="9"/>
    </row>
    <row r="4" spans="2:19" ht="13.35" customHeight="1" x14ac:dyDescent="0.2">
      <c r="B4" s="48"/>
      <c r="C4" s="16" t="s">
        <v>109</v>
      </c>
      <c r="D4" s="338"/>
      <c r="E4" s="551">
        <f>A2.3.1!E4/A2.3.1!E$39</f>
        <v>0.16974631788213532</v>
      </c>
      <c r="F4" s="551">
        <f>A2.3.1!F4/A2.3.1!F$39</f>
        <v>0.19209071757880358</v>
      </c>
      <c r="G4" s="552">
        <f>A2.3.1!G4/A2.3.1!G$39</f>
        <v>0.19647741858409221</v>
      </c>
      <c r="H4" s="551">
        <f>A2.3.1!H4/A2.3.1!H$39</f>
        <v>0.16974630705072299</v>
      </c>
      <c r="I4" s="551">
        <f>A2.3.1!I4/A2.3.1!I$39</f>
        <v>0.19209071757926893</v>
      </c>
      <c r="J4" s="552">
        <f>A2.3.1!J4/A2.3.1!J$39</f>
        <v>0.19647741858496795</v>
      </c>
      <c r="K4" s="551">
        <f>A2.3.1!K4/A2.3.1!K$39</f>
        <v>0.17018998492122106</v>
      </c>
      <c r="L4" s="551">
        <f>A2.3.1!L4/A2.3.1!L$39</f>
        <v>0.18828380634871589</v>
      </c>
      <c r="M4" s="552">
        <f>A2.3.1!M4/A2.3.1!M$39</f>
        <v>0.19269364319909105</v>
      </c>
      <c r="N4" s="551">
        <f>A2.3.1!N4/A2.3.1!N$39</f>
        <v>0.16119746126184784</v>
      </c>
      <c r="O4" s="551">
        <f>A2.3.1!O4/A2.3.1!O$39</f>
        <v>0.17323729397911872</v>
      </c>
      <c r="P4" s="552">
        <f>A2.3.1!P4/A2.3.1!P$39</f>
        <v>0.17308140907708577</v>
      </c>
      <c r="S4" s="11"/>
    </row>
    <row r="5" spans="2:19" ht="13.35" customHeight="1" x14ac:dyDescent="0.2">
      <c r="B5" s="48"/>
      <c r="C5" s="16" t="s">
        <v>110</v>
      </c>
      <c r="D5" s="338"/>
      <c r="E5" s="551">
        <f>A2.3.1!E5/A2.3.1!E$39</f>
        <v>1.5661480477576699E-2</v>
      </c>
      <c r="F5" s="551">
        <f>A2.3.1!F5/A2.3.1!F$39</f>
        <v>1.614093729672586E-2</v>
      </c>
      <c r="G5" s="552">
        <f>A2.3.1!G5/A2.3.1!G$39</f>
        <v>2.193133943957444E-2</v>
      </c>
      <c r="H5" s="551">
        <f>A2.3.1!H5/A2.3.1!H$39</f>
        <v>1.566151987040838E-2</v>
      </c>
      <c r="I5" s="551">
        <f>A2.3.1!I5/A2.3.1!I$39</f>
        <v>1.6140937297219344E-2</v>
      </c>
      <c r="J5" s="552">
        <f>A2.3.1!J5/A2.3.1!J$39</f>
        <v>2.1931339439823585E-2</v>
      </c>
      <c r="K5" s="551">
        <f>A2.3.1!K5/A2.3.1!K$39</f>
        <v>1.6136601427868047E-2</v>
      </c>
      <c r="L5" s="551">
        <f>A2.3.1!L5/A2.3.1!L$39</f>
        <v>1.6862749048561547E-2</v>
      </c>
      <c r="M5" s="552">
        <f>A2.3.1!M5/A2.3.1!M$39</f>
        <v>2.264217988156067E-2</v>
      </c>
      <c r="N5" s="551">
        <f>A2.3.1!N5/A2.3.1!N$39</f>
        <v>1.8238884994284686E-2</v>
      </c>
      <c r="O5" s="551">
        <f>A2.3.1!O5/A2.3.1!O$39</f>
        <v>1.9638090922244271E-2</v>
      </c>
      <c r="P5" s="552">
        <f>A2.3.1!P5/A2.3.1!P$39</f>
        <v>2.5293515827353355E-2</v>
      </c>
      <c r="S5" s="12"/>
    </row>
    <row r="6" spans="2:19" ht="13.35" customHeight="1" x14ac:dyDescent="0.2">
      <c r="B6" s="48"/>
      <c r="C6" s="16" t="s">
        <v>131</v>
      </c>
      <c r="D6" s="338"/>
      <c r="E6" s="551">
        <f>A2.3.1!E6/A2.3.1!E$39</f>
        <v>2.2925243209372783E-3</v>
      </c>
      <c r="F6" s="551">
        <f>A2.3.1!F6/A2.3.1!F$39</f>
        <v>2.6702331702366184E-3</v>
      </c>
      <c r="G6" s="552">
        <f>A2.3.1!G6/A2.3.1!G$39</f>
        <v>2.684258421226964E-3</v>
      </c>
      <c r="H6" s="551">
        <f>A2.3.1!H6/A2.3.1!H$39</f>
        <v>2.2924856614678865E-3</v>
      </c>
      <c r="I6" s="551">
        <f>A2.3.1!I6/A2.3.1!I$39</f>
        <v>2.6702331700334857E-3</v>
      </c>
      <c r="J6" s="552">
        <f>A2.3.1!J6/A2.3.1!J$39</f>
        <v>2.6842584220350286E-3</v>
      </c>
      <c r="K6" s="551">
        <f>A2.3.1!K6/A2.3.1!K$39</f>
        <v>2.6564807976366322E-3</v>
      </c>
      <c r="L6" s="551">
        <f>A2.3.1!L6/A2.3.1!L$39</f>
        <v>2.9240031452671851E-3</v>
      </c>
      <c r="M6" s="552">
        <f>A2.3.1!M6/A2.3.1!M$39</f>
        <v>2.9015835253872893E-3</v>
      </c>
      <c r="N6" s="551">
        <f>A2.3.1!N6/A2.3.1!N$39</f>
        <v>2.993222475126791E-3</v>
      </c>
      <c r="O6" s="551">
        <f>A2.3.1!O6/A2.3.1!O$39</f>
        <v>3.2409084863123721E-3</v>
      </c>
      <c r="P6" s="552">
        <f>A2.3.1!P6/A2.3.1!P$39</f>
        <v>3.2434842502431622E-3</v>
      </c>
      <c r="S6" s="12"/>
    </row>
    <row r="7" spans="2:19" ht="13.35" customHeight="1" x14ac:dyDescent="0.2">
      <c r="B7" s="48"/>
      <c r="C7" s="16" t="s">
        <v>111</v>
      </c>
      <c r="D7" s="338"/>
      <c r="E7" s="551">
        <f>A2.3.1!E7/A2.3.1!E$39</f>
        <v>4.8299184184722628E-3</v>
      </c>
      <c r="F7" s="551">
        <f>A2.3.1!F7/A2.3.1!F$39</f>
        <v>3.467643970190054E-3</v>
      </c>
      <c r="G7" s="552">
        <f>A2.3.1!G7/A2.3.1!G$39</f>
        <v>3.3036435348917175E-3</v>
      </c>
      <c r="H7" s="551">
        <f>A2.3.1!H7/A2.3.1!H$39</f>
        <v>4.82989500471653E-3</v>
      </c>
      <c r="I7" s="551">
        <f>A2.3.1!I7/A2.3.1!I$39</f>
        <v>3.4676439698305092E-3</v>
      </c>
      <c r="J7" s="552">
        <f>A2.3.1!J7/A2.3.1!J$39</f>
        <v>3.3036435368626726E-3</v>
      </c>
      <c r="K7" s="551">
        <f>A2.3.1!K7/A2.3.1!K$39</f>
        <v>5.1244768586903005E-3</v>
      </c>
      <c r="L7" s="551">
        <f>A2.3.1!L7/A2.3.1!L$39</f>
        <v>3.507466217101842E-3</v>
      </c>
      <c r="M7" s="552">
        <f>A2.3.1!M7/A2.3.1!M$39</f>
        <v>3.2134207730852341E-3</v>
      </c>
      <c r="N7" s="551">
        <f>A2.3.1!N7/A2.3.1!N$39</f>
        <v>5.5217026248153217E-3</v>
      </c>
      <c r="O7" s="551">
        <f>A2.3.1!O7/A2.3.1!O$39</f>
        <v>4.0679014681555548E-3</v>
      </c>
      <c r="P7" s="552">
        <f>A2.3.1!P7/A2.3.1!P$39</f>
        <v>3.9312028451067276E-3</v>
      </c>
      <c r="S7" s="12"/>
    </row>
    <row r="8" spans="2:19" ht="13.35" customHeight="1" x14ac:dyDescent="0.2">
      <c r="B8" s="48"/>
      <c r="C8" s="16" t="s">
        <v>132</v>
      </c>
      <c r="D8" s="338"/>
      <c r="E8" s="551">
        <f>A2.3.1!E8/A2.3.1!E$39</f>
        <v>6.4232695038034388E-3</v>
      </c>
      <c r="F8" s="551">
        <f>A2.3.1!F8/A2.3.1!F$39</f>
        <v>8.1015681512278791E-3</v>
      </c>
      <c r="G8" s="552">
        <f>A2.3.1!G8/A2.3.1!G$39</f>
        <v>8.7054851877414255E-3</v>
      </c>
      <c r="H8" s="551">
        <f>A2.3.1!H8/A2.3.1!H$39</f>
        <v>6.4231985313376351E-3</v>
      </c>
      <c r="I8" s="551">
        <f>A2.3.1!I8/A2.3.1!I$39</f>
        <v>8.1015681507456624E-3</v>
      </c>
      <c r="J8" s="552">
        <f>A2.3.1!J8/A2.3.1!J$39</f>
        <v>8.7054851890337112E-3</v>
      </c>
      <c r="K8" s="551">
        <f>A2.3.1!K8/A2.3.1!K$39</f>
        <v>6.8770002461841454E-3</v>
      </c>
      <c r="L8" s="551">
        <f>A2.3.1!L8/A2.3.1!L$39</f>
        <v>8.5452120956341047E-3</v>
      </c>
      <c r="M8" s="552">
        <f>A2.3.1!M8/A2.3.1!M$39</f>
        <v>9.0237475228747005E-3</v>
      </c>
      <c r="N8" s="551">
        <f>A2.3.1!N8/A2.3.1!N$39</f>
        <v>8.3230769622296037E-3</v>
      </c>
      <c r="O8" s="551">
        <f>A2.3.1!O8/A2.3.1!O$39</f>
        <v>9.8546445110968325E-3</v>
      </c>
      <c r="P8" s="552">
        <f>A2.3.1!P8/A2.3.1!P$39</f>
        <v>1.034064187855154E-2</v>
      </c>
    </row>
    <row r="9" spans="2:19" ht="13.35" customHeight="1" x14ac:dyDescent="0.2">
      <c r="B9" s="48"/>
      <c r="C9" s="16" t="s">
        <v>112</v>
      </c>
      <c r="D9" s="338"/>
      <c r="E9" s="551">
        <f>A2.3.1!E9/A2.3.1!E$39</f>
        <v>3.2144993463419872E-3</v>
      </c>
      <c r="F9" s="551">
        <f>A2.3.1!F9/A2.3.1!F$39</f>
        <v>3.0163021058789001E-3</v>
      </c>
      <c r="G9" s="552">
        <f>A2.3.1!G9/A2.3.1!G$39</f>
        <v>2.9290454301046094E-3</v>
      </c>
      <c r="H9" s="551">
        <f>A2.3.1!H9/A2.3.1!H$39</f>
        <v>3.2145983311600104E-3</v>
      </c>
      <c r="I9" s="551">
        <f>A2.3.1!I9/A2.3.1!I$39</f>
        <v>3.0163021058386254E-3</v>
      </c>
      <c r="J9" s="552">
        <f>A2.3.1!J9/A2.3.1!J$39</f>
        <v>2.9290454277177622E-3</v>
      </c>
      <c r="K9" s="551">
        <f>A2.3.1!K9/A2.3.1!K$39</f>
        <v>3.2194346996553421E-3</v>
      </c>
      <c r="L9" s="551">
        <f>A2.3.1!L9/A2.3.1!L$39</f>
        <v>2.8557867360237388E-3</v>
      </c>
      <c r="M9" s="552">
        <f>A2.3.1!M9/A2.3.1!M$39</f>
        <v>2.7295188299377156E-3</v>
      </c>
      <c r="N9" s="551">
        <f>A2.3.1!N9/A2.3.1!N$39</f>
        <v>3.358908517215532E-3</v>
      </c>
      <c r="O9" s="551">
        <f>A2.3.1!O9/A2.3.1!O$39</f>
        <v>3.1640252854477249E-3</v>
      </c>
      <c r="P9" s="552">
        <f>A2.3.1!P9/A2.3.1!P$39</f>
        <v>3.1467650088245467E-3</v>
      </c>
    </row>
    <row r="10" spans="2:19" s="50" customFormat="1" ht="13.35" customHeight="1" x14ac:dyDescent="0.2">
      <c r="B10" s="48"/>
      <c r="C10" s="16" t="s">
        <v>133</v>
      </c>
      <c r="D10" s="338"/>
      <c r="E10" s="551">
        <f>A2.3.1!E10/A2.3.1!E$39</f>
        <v>1.8138187611414158E-3</v>
      </c>
      <c r="F10" s="551">
        <f>A2.3.1!F10/A2.3.1!F$39</f>
        <v>2.8899010874144006E-3</v>
      </c>
      <c r="G10" s="552">
        <f>A2.3.1!G10/A2.3.1!G$39</f>
        <v>3.3322932394742933E-3</v>
      </c>
      <c r="H10" s="551">
        <f>A2.3.1!H10/A2.3.1!H$39</f>
        <v>1.8138348090734927E-3</v>
      </c>
      <c r="I10" s="551">
        <f>A2.3.1!I10/A2.3.1!I$39</f>
        <v>2.8899010869021468E-3</v>
      </c>
      <c r="J10" s="552">
        <f>A2.3.1!J10/A2.3.1!J$39</f>
        <v>3.3322932384298059E-3</v>
      </c>
      <c r="K10" s="551">
        <f>A2.3.1!K10/A2.3.1!K$39</f>
        <v>1.6803991260462825E-3</v>
      </c>
      <c r="L10" s="551">
        <f>A2.3.1!L10/A2.3.1!L$39</f>
        <v>2.5248639387659222E-3</v>
      </c>
      <c r="M10" s="552">
        <f>A2.3.1!M10/A2.3.1!M$39</f>
        <v>2.8950008877090209E-3</v>
      </c>
      <c r="N10" s="551">
        <f>A2.3.1!N10/A2.3.1!N$39</f>
        <v>2.5145809478746652E-3</v>
      </c>
      <c r="O10" s="551">
        <f>A2.3.1!O10/A2.3.1!O$39</f>
        <v>4.1200914904669329E-3</v>
      </c>
      <c r="P10" s="552">
        <f>A2.3.1!P10/A2.3.1!P$39</f>
        <v>4.9767495938108008E-3</v>
      </c>
      <c r="Q10" s="6"/>
      <c r="R10" s="6"/>
      <c r="S10" s="6"/>
    </row>
    <row r="11" spans="2:19" s="1" customFormat="1" ht="13.35" customHeight="1" x14ac:dyDescent="0.2">
      <c r="B11" s="26"/>
      <c r="C11" s="16" t="s">
        <v>5</v>
      </c>
      <c r="D11" s="338"/>
      <c r="E11" s="551">
        <f>A2.3.1!E11/A2.3.1!E$39</f>
        <v>2.4215583860577854E-2</v>
      </c>
      <c r="F11" s="551">
        <f>A2.3.1!F11/A2.3.1!F$39</f>
        <v>2.9597898259652772E-2</v>
      </c>
      <c r="G11" s="552">
        <f>A2.3.1!G11/A2.3.1!G$39</f>
        <v>3.2010819895872809E-2</v>
      </c>
      <c r="H11" s="551">
        <f>A2.3.1!H11/A2.3.1!H$39</f>
        <v>2.421565440208831E-2</v>
      </c>
      <c r="I11" s="551">
        <f>A2.3.1!I11/A2.3.1!I$39</f>
        <v>2.9597898259053738E-2</v>
      </c>
      <c r="J11" s="552">
        <f>A2.3.1!J11/A2.3.1!J$39</f>
        <v>3.2010819897924897E-2</v>
      </c>
      <c r="K11" s="551">
        <f>A2.3.1!K11/A2.3.1!K$39</f>
        <v>2.6174375307730181E-2</v>
      </c>
      <c r="L11" s="551">
        <f>A2.3.1!L11/A2.3.1!L$39</f>
        <v>2.9200996921419715E-2</v>
      </c>
      <c r="M11" s="552">
        <f>A2.3.1!M11/A2.3.1!M$39</f>
        <v>3.0690837758951671E-2</v>
      </c>
      <c r="N11" s="551">
        <f>A2.3.1!N11/A2.3.1!N$39</f>
        <v>2.8687561017006553E-2</v>
      </c>
      <c r="O11" s="551">
        <f>A2.3.1!O11/A2.3.1!O$39</f>
        <v>3.0729018305690355E-2</v>
      </c>
      <c r="P11" s="552">
        <f>A2.3.1!P11/A2.3.1!P$39</f>
        <v>3.1675409162530366E-2</v>
      </c>
    </row>
    <row r="12" spans="2:19" s="1" customFormat="1" ht="13.35" customHeight="1" x14ac:dyDescent="0.2">
      <c r="B12" s="26"/>
      <c r="C12" s="16" t="s">
        <v>113</v>
      </c>
      <c r="D12" s="338"/>
      <c r="E12" s="551">
        <f>A2.3.1!E12/A2.3.1!E$39</f>
        <v>2.7837067809618629E-2</v>
      </c>
      <c r="F12" s="551">
        <f>A2.3.1!F12/A2.3.1!F$39</f>
        <v>2.8908633713529638E-2</v>
      </c>
      <c r="G12" s="552">
        <f>A2.3.1!G12/A2.3.1!G$39</f>
        <v>2.5220496509359727E-2</v>
      </c>
      <c r="H12" s="551">
        <f>A2.3.1!H12/A2.3.1!H$39</f>
        <v>2.7837125951553496E-2</v>
      </c>
      <c r="I12" s="551">
        <f>A2.3.1!I12/A2.3.1!I$39</f>
        <v>2.8908633713244199E-2</v>
      </c>
      <c r="J12" s="552">
        <f>A2.3.1!J12/A2.3.1!J$39</f>
        <v>2.5220496506788412E-2</v>
      </c>
      <c r="K12" s="551">
        <f>A2.3.1!K12/A2.3.1!K$39</f>
        <v>2.813519356228459E-2</v>
      </c>
      <c r="L12" s="551">
        <f>A2.3.1!L12/A2.3.1!L$39</f>
        <v>2.8632442756524861E-2</v>
      </c>
      <c r="M12" s="552">
        <f>A2.3.1!M12/A2.3.1!M$39</f>
        <v>2.4794241964637146E-2</v>
      </c>
      <c r="N12" s="551">
        <f>A2.3.1!N12/A2.3.1!N$39</f>
        <v>2.961430498020147E-2</v>
      </c>
      <c r="O12" s="551">
        <f>A2.3.1!O12/A2.3.1!O$39</f>
        <v>3.0294699384499565E-2</v>
      </c>
      <c r="P12" s="552">
        <f>A2.3.1!P12/A2.3.1!P$39</f>
        <v>2.6698466607387675E-2</v>
      </c>
    </row>
    <row r="13" spans="2:19" s="1" customFormat="1" ht="13.35" customHeight="1" x14ac:dyDescent="0.2">
      <c r="B13" s="26"/>
      <c r="C13" s="27" t="s">
        <v>134</v>
      </c>
      <c r="D13" s="312"/>
      <c r="E13" s="551">
        <f>A2.3.1!E13/A2.3.1!E$39</f>
        <v>6.8340735657559165E-3</v>
      </c>
      <c r="F13" s="551">
        <f>A2.3.1!F13/A2.3.1!F$39</f>
        <v>9.9083560262887751E-3</v>
      </c>
      <c r="G13" s="552">
        <f>A2.3.1!G13/A2.3.1!G$39</f>
        <v>1.0350790473470151E-2</v>
      </c>
      <c r="H13" s="551">
        <f>A2.3.1!H13/A2.3.1!H$39</f>
        <v>6.8340705036310685E-3</v>
      </c>
      <c r="I13" s="551">
        <f>A2.3.1!I13/A2.3.1!I$39</f>
        <v>9.9083560263930823E-3</v>
      </c>
      <c r="J13" s="552">
        <f>A2.3.1!J13/A2.3.1!J$39</f>
        <v>1.0350790474432681E-2</v>
      </c>
      <c r="K13" s="551">
        <f>A2.3.1!K13/A2.3.1!K$39</f>
        <v>6.8006446947316591E-3</v>
      </c>
      <c r="L13" s="551">
        <f>A2.3.1!L13/A2.3.1!L$39</f>
        <v>1.01817237572378E-2</v>
      </c>
      <c r="M13" s="552">
        <f>A2.3.1!M13/A2.3.1!M$39</f>
        <v>1.0919591214916405E-2</v>
      </c>
      <c r="N13" s="551">
        <f>A2.3.1!N13/A2.3.1!N$39</f>
        <v>5.1981057149798355E-3</v>
      </c>
      <c r="O13" s="551">
        <f>A2.3.1!O13/A2.3.1!O$39</f>
        <v>7.3964439598937061E-3</v>
      </c>
      <c r="P13" s="552">
        <f>A2.3.1!P13/A2.3.1!P$39</f>
        <v>7.9897420048887537E-3</v>
      </c>
    </row>
    <row r="14" spans="2:19" s="1" customFormat="1" ht="13.35" customHeight="1" x14ac:dyDescent="0.2">
      <c r="B14" s="26"/>
      <c r="C14" s="27" t="s">
        <v>135</v>
      </c>
      <c r="D14" s="312"/>
      <c r="E14" s="551">
        <f>A2.3.1!E14/A2.3.1!E$39</f>
        <v>0.24099748149100655</v>
      </c>
      <c r="F14" s="551">
        <f>A2.3.1!F14/A2.3.1!F$39</f>
        <v>0.28466684172629575</v>
      </c>
      <c r="G14" s="552">
        <f>A2.3.1!G14/A2.3.1!G$39</f>
        <v>0.30555793358921912</v>
      </c>
      <c r="H14" s="551">
        <f>A2.3.1!H14/A2.3.1!H$39</f>
        <v>0.24099750517738672</v>
      </c>
      <c r="I14" s="551">
        <f>A2.3.1!I14/A2.3.1!I$39</f>
        <v>0.28466684172678397</v>
      </c>
      <c r="J14" s="552">
        <f>A2.3.1!J14/A2.3.1!J$39</f>
        <v>0.30555793359145039</v>
      </c>
      <c r="K14" s="551">
        <f>A2.3.1!K14/A2.3.1!K$39</f>
        <v>0.24858444116198916</v>
      </c>
      <c r="L14" s="551">
        <f>A2.3.1!L14/A2.3.1!L$39</f>
        <v>0.28836746288555754</v>
      </c>
      <c r="M14" s="552">
        <f>A2.3.1!M14/A2.3.1!M$39</f>
        <v>0.3102974980643759</v>
      </c>
      <c r="N14" s="551">
        <f>A2.3.1!N14/A2.3.1!N$39</f>
        <v>0.27270292687825687</v>
      </c>
      <c r="O14" s="551">
        <f>A2.3.1!O14/A2.3.1!O$39</f>
        <v>0.29506497060248077</v>
      </c>
      <c r="P14" s="552">
        <f>A2.3.1!P14/A2.3.1!P$39</f>
        <v>0.31114116664592983</v>
      </c>
      <c r="R14" s="83">
        <f>AVERAGE(E14,H14,K14,N14)</f>
        <v>0.25082058867715984</v>
      </c>
      <c r="S14" s="83">
        <f>AVERAGE(G14,J14,M14,P14)</f>
        <v>0.3081386329727438</v>
      </c>
    </row>
    <row r="15" spans="2:19" customFormat="1" ht="13.35" customHeight="1" x14ac:dyDescent="0.2">
      <c r="B15" s="26"/>
      <c r="C15" s="27" t="s">
        <v>114</v>
      </c>
      <c r="D15" s="312"/>
      <c r="E15" s="551">
        <f>A2.3.1!E15/A2.3.1!E$39</f>
        <v>5.2706415779119825E-3</v>
      </c>
      <c r="F15" s="551">
        <f>A2.3.1!F15/A2.3.1!F$39</f>
        <v>6.3874013879199011E-3</v>
      </c>
      <c r="G15" s="552">
        <f>A2.3.1!G15/A2.3.1!G$39</f>
        <v>6.8654418524584458E-3</v>
      </c>
      <c r="H15" s="551">
        <f>A2.3.1!H15/A2.3.1!H$39</f>
        <v>5.2705576942224802E-3</v>
      </c>
      <c r="I15" s="551">
        <f>A2.3.1!I15/A2.3.1!I$39</f>
        <v>6.3874013884250517E-3</v>
      </c>
      <c r="J15" s="552">
        <f>A2.3.1!J15/A2.3.1!J$39</f>
        <v>6.8654418500753399E-3</v>
      </c>
      <c r="K15" s="551">
        <f>A2.3.1!K15/A2.3.1!K$39</f>
        <v>5.6951240152634175E-3</v>
      </c>
      <c r="L15" s="551">
        <f>A2.3.1!L15/A2.3.1!L$39</f>
        <v>6.59492667043264E-3</v>
      </c>
      <c r="M15" s="552">
        <f>A2.3.1!M15/A2.3.1!M$39</f>
        <v>7.0732437095167707E-3</v>
      </c>
      <c r="N15" s="551">
        <f>A2.3.1!N15/A2.3.1!N$39</f>
        <v>7.4051423522969997E-3</v>
      </c>
      <c r="O15" s="551">
        <f>A2.3.1!O15/A2.3.1!O$39</f>
        <v>8.6726906361129542E-3</v>
      </c>
      <c r="P15" s="552">
        <f>A2.3.1!P15/A2.3.1!P$39</f>
        <v>9.5361108494426087E-3</v>
      </c>
      <c r="Q15" s="1"/>
      <c r="R15" s="1"/>
      <c r="S15" s="1"/>
    </row>
    <row r="16" spans="2:19" customFormat="1" ht="13.35" customHeight="1" x14ac:dyDescent="0.2">
      <c r="B16" s="26"/>
      <c r="C16" s="27" t="s">
        <v>424</v>
      </c>
      <c r="D16" s="312"/>
      <c r="E16" s="551">
        <f>A2.3.1!E16/A2.3.1!E$39</f>
        <v>1.9882407337266103E-4</v>
      </c>
      <c r="F16" s="551">
        <f>A2.3.1!F16/A2.3.1!F$39</f>
        <v>1.7615077050508394E-4</v>
      </c>
      <c r="G16" s="552">
        <f>A2.3.1!G16/A2.3.1!G$39</f>
        <v>1.6831611226156821E-4</v>
      </c>
      <c r="H16" s="551">
        <f>A2.3.1!H16/A2.3.1!H$39</f>
        <v>1.9873807321638576E-4</v>
      </c>
      <c r="I16" s="551">
        <f>A2.3.1!I16/A2.3.1!I$39</f>
        <v>1.7615077099840138E-4</v>
      </c>
      <c r="J16" s="552">
        <f>A2.3.1!J16/A2.3.1!J$39</f>
        <v>1.6831611372279681E-4</v>
      </c>
      <c r="K16" s="551">
        <f>A2.3.1!K16/A2.3.1!K$39</f>
        <v>3.3061761447562778E-4</v>
      </c>
      <c r="L16" s="551">
        <f>A2.3.1!L16/A2.3.1!L$39</f>
        <v>2.2974034000650717E-4</v>
      </c>
      <c r="M16" s="552">
        <f>A2.3.1!M16/A2.3.1!M$39</f>
        <v>1.8874828116095837E-4</v>
      </c>
      <c r="N16" s="551">
        <f>A2.3.1!N16/A2.3.1!N$39</f>
        <v>3.6940554679949344E-4</v>
      </c>
      <c r="O16" s="551">
        <f>A2.3.1!O16/A2.3.1!O$39</f>
        <v>2.6366969238336935E-4</v>
      </c>
      <c r="P16" s="552">
        <f>A2.3.1!P16/A2.3.1!P$39</f>
        <v>2.3089275686815957E-4</v>
      </c>
      <c r="Q16" s="1"/>
      <c r="R16" s="1"/>
      <c r="S16" s="1"/>
    </row>
    <row r="17" spans="2:19" customFormat="1" ht="13.35" customHeight="1" x14ac:dyDescent="0.2">
      <c r="B17" s="26"/>
      <c r="C17" s="27" t="s">
        <v>115</v>
      </c>
      <c r="D17" s="312"/>
      <c r="E17" s="551">
        <f>A2.3.1!E17/A2.3.1!E$39</f>
        <v>5.0289546840256846E-5</v>
      </c>
      <c r="F17" s="551">
        <f>A2.3.1!F17/A2.3.1!F$39</f>
        <v>4.0298903250821197E-5</v>
      </c>
      <c r="G17" s="552">
        <f>A2.3.1!G17/A2.3.1!G$39</f>
        <v>4.6850669457147148E-5</v>
      </c>
      <c r="H17" s="551">
        <f>A2.3.1!H17/A2.3.1!H$39</f>
        <v>5.0384300252041462E-5</v>
      </c>
      <c r="I17" s="551">
        <f>A2.3.1!I17/A2.3.1!I$39</f>
        <v>4.0298903696194617E-5</v>
      </c>
      <c r="J17" s="552">
        <f>A2.3.1!J17/A2.3.1!J$39</f>
        <v>4.6850671689069965E-5</v>
      </c>
      <c r="K17" s="551">
        <f>A2.3.1!K17/A2.3.1!K$39</f>
        <v>8.0779172821270309E-5</v>
      </c>
      <c r="L17" s="551">
        <f>A2.3.1!L17/A2.3.1!L$39</f>
        <v>2.8595299040523928E-5</v>
      </c>
      <c r="M17" s="552">
        <f>A2.3.1!M17/A2.3.1!M$39</f>
        <v>2.5514841700293035E-5</v>
      </c>
      <c r="N17" s="551">
        <f>A2.3.1!N17/A2.3.1!N$39</f>
        <v>6.8321428634352525E-5</v>
      </c>
      <c r="O17" s="551">
        <f>A2.3.1!O17/A2.3.1!O$39</f>
        <v>3.8999202319761995E-5</v>
      </c>
      <c r="P17" s="552">
        <f>A2.3.1!P17/A2.3.1!P$39</f>
        <v>2.4238331652291012E-5</v>
      </c>
      <c r="Q17" s="1"/>
      <c r="R17" s="1"/>
      <c r="S17" s="1"/>
    </row>
    <row r="18" spans="2:19" customFormat="1" ht="13.35" customHeight="1" x14ac:dyDescent="0.2">
      <c r="B18" s="26"/>
      <c r="C18" s="27" t="s">
        <v>116</v>
      </c>
      <c r="D18" s="312"/>
      <c r="E18" s="551">
        <f>A2.3.1!E18/A2.3.1!E$39</f>
        <v>7.9678163875596814E-3</v>
      </c>
      <c r="F18" s="551">
        <f>A2.3.1!F18/A2.3.1!F$39</f>
        <v>1.0552712125470464E-2</v>
      </c>
      <c r="G18" s="552">
        <f>A2.3.1!G18/A2.3.1!G$39</f>
        <v>1.1513906747956998E-2</v>
      </c>
      <c r="H18" s="551">
        <f>A2.3.1!H18/A2.3.1!H$39</f>
        <v>7.9677172593020009E-3</v>
      </c>
      <c r="I18" s="551">
        <f>A2.3.1!I18/A2.3.1!I$39</f>
        <v>1.0552712125350458E-2</v>
      </c>
      <c r="J18" s="552">
        <f>A2.3.1!J18/A2.3.1!J$39</f>
        <v>1.1513906746155012E-2</v>
      </c>
      <c r="K18" s="551">
        <f>A2.3.1!K18/A2.3.1!K$39</f>
        <v>8.6533727227966518E-3</v>
      </c>
      <c r="L18" s="551">
        <f>A2.3.1!L18/A2.3.1!L$39</f>
        <v>1.1123277925113556E-2</v>
      </c>
      <c r="M18" s="552">
        <f>A2.3.1!M18/A2.3.1!M$39</f>
        <v>1.2030134731558043E-2</v>
      </c>
      <c r="N18" s="551">
        <f>A2.3.1!N18/A2.3.1!N$39</f>
        <v>1.0253304143704435E-2</v>
      </c>
      <c r="O18" s="551">
        <f>A2.3.1!O18/A2.3.1!O$39</f>
        <v>1.3141845037281654E-2</v>
      </c>
      <c r="P18" s="552">
        <f>A2.3.1!P18/A2.3.1!P$39</f>
        <v>1.4396793957772274E-2</v>
      </c>
      <c r="Q18" s="1"/>
      <c r="R18" s="1"/>
      <c r="S18" s="1"/>
    </row>
    <row r="19" spans="2:19" customFormat="1" ht="13.35" customHeight="1" x14ac:dyDescent="0.2">
      <c r="B19" s="26"/>
      <c r="C19" s="27" t="s">
        <v>136</v>
      </c>
      <c r="D19" s="312"/>
      <c r="E19" s="551">
        <f>A2.3.1!E19/A2.3.1!E$39</f>
        <v>1.1037176282261434E-2</v>
      </c>
      <c r="F19" s="551">
        <f>A2.3.1!F19/A2.3.1!F$39</f>
        <v>1.3882001261638381E-2</v>
      </c>
      <c r="G19" s="552">
        <f>A2.3.1!G19/A2.3.1!G$39</f>
        <v>1.51461092808437E-2</v>
      </c>
      <c r="H19" s="551">
        <f>A2.3.1!H19/A2.3.1!H$39</f>
        <v>1.1037160820688273E-2</v>
      </c>
      <c r="I19" s="551">
        <f>A2.3.1!I19/A2.3.1!I$39</f>
        <v>1.3882001261570888E-2</v>
      </c>
      <c r="J19" s="552">
        <f>A2.3.1!J19/A2.3.1!J$39</f>
        <v>1.5146109279065534E-2</v>
      </c>
      <c r="K19" s="551">
        <f>A2.3.1!K19/A2.3.1!K$39</f>
        <v>1.1825493906942392E-2</v>
      </c>
      <c r="L19" s="551">
        <f>A2.3.1!L19/A2.3.1!L$39</f>
        <v>1.4586710465712208E-2</v>
      </c>
      <c r="M19" s="552">
        <f>A2.3.1!M19/A2.3.1!M$39</f>
        <v>1.6113375918076996E-2</v>
      </c>
      <c r="N19" s="551">
        <f>A2.3.1!N19/A2.3.1!N$39</f>
        <v>1.3409401772481028E-2</v>
      </c>
      <c r="O19" s="551">
        <f>A2.3.1!O19/A2.3.1!O$39</f>
        <v>1.6345964687527244E-2</v>
      </c>
      <c r="P19" s="552">
        <f>A2.3.1!P19/A2.3.1!P$39</f>
        <v>1.7878797570519807E-2</v>
      </c>
      <c r="Q19" s="1"/>
      <c r="R19" s="1"/>
      <c r="S19" s="1"/>
    </row>
    <row r="20" spans="2:19" customFormat="1" ht="13.35" customHeight="1" x14ac:dyDescent="0.2">
      <c r="B20" s="26"/>
      <c r="C20" s="27" t="s">
        <v>312</v>
      </c>
      <c r="D20" s="312"/>
      <c r="E20" s="551">
        <f>A2.3.1!E20/A2.3.1!E$39</f>
        <v>9.4777759458519514E-3</v>
      </c>
      <c r="F20" s="551">
        <f>A2.3.1!F20/A2.3.1!F$39</f>
        <v>1.1400100089505762E-2</v>
      </c>
      <c r="G20" s="552">
        <f>A2.3.1!G20/A2.3.1!G$39</f>
        <v>1.1827190221524021E-2</v>
      </c>
      <c r="H20" s="551">
        <f>A2.3.1!H20/A2.3.1!H$39</f>
        <v>9.477846702967356E-3</v>
      </c>
      <c r="I20" s="551">
        <f>A2.3.1!I20/A2.3.1!I$39</f>
        <v>1.1400100089213794E-2</v>
      </c>
      <c r="J20" s="552">
        <f>A2.3.1!J20/A2.3.1!J$39</f>
        <v>1.1827190220475455E-2</v>
      </c>
      <c r="K20" s="551">
        <f>A2.3.1!K20/A2.3.1!K$39</f>
        <v>1.0722858197932053E-2</v>
      </c>
      <c r="L20" s="551">
        <f>A2.3.1!L20/A2.3.1!L$39</f>
        <v>1.211841835500828E-2</v>
      </c>
      <c r="M20" s="552">
        <f>A2.3.1!M20/A2.3.1!M$39</f>
        <v>1.2208442881010844E-2</v>
      </c>
      <c r="N20" s="551">
        <f>A2.3.1!N20/A2.3.1!N$39</f>
        <v>1.4497454782079113E-2</v>
      </c>
      <c r="O20" s="551">
        <f>A2.3.1!O20/A2.3.1!O$39</f>
        <v>1.5001452861044019E-2</v>
      </c>
      <c r="P20" s="552">
        <f>A2.3.1!P20/A2.3.1!P$39</f>
        <v>1.485576059285066E-2</v>
      </c>
      <c r="Q20" s="1"/>
      <c r="R20" s="1"/>
      <c r="S20" s="1"/>
    </row>
    <row r="21" spans="2:19" customFormat="1" ht="13.35" customHeight="1" x14ac:dyDescent="0.2">
      <c r="B21" s="26"/>
      <c r="C21" s="27" t="s">
        <v>117</v>
      </c>
      <c r="D21" s="312"/>
      <c r="E21" s="551">
        <f>A2.3.1!E21/A2.3.1!E$39</f>
        <v>2.4689621192396986E-2</v>
      </c>
      <c r="F21" s="551">
        <f>A2.3.1!F21/A2.3.1!F$39</f>
        <v>3.4480331734018967E-2</v>
      </c>
      <c r="G21" s="552">
        <f>A2.3.1!G21/A2.3.1!G$39</f>
        <v>3.842411929400065E-2</v>
      </c>
      <c r="H21" s="551">
        <f>A2.3.1!H21/A2.3.1!H$39</f>
        <v>2.4689706687396208E-2</v>
      </c>
      <c r="I21" s="551">
        <f>A2.3.1!I21/A2.3.1!I$39</f>
        <v>3.4480331734267643E-2</v>
      </c>
      <c r="J21" s="552">
        <f>A2.3.1!J21/A2.3.1!J$39</f>
        <v>3.8424119296652133E-2</v>
      </c>
      <c r="K21" s="551">
        <f>A2.3.1!K21/A2.3.1!K$39</f>
        <v>2.7711679899064499E-2</v>
      </c>
      <c r="L21" s="551">
        <f>A2.3.1!L21/A2.3.1!L$39</f>
        <v>3.771503265866271E-2</v>
      </c>
      <c r="M21" s="552">
        <f>A2.3.1!M21/A2.3.1!M$39</f>
        <v>4.2396126337263709E-2</v>
      </c>
      <c r="N21" s="551">
        <f>A2.3.1!N21/A2.3.1!N$39</f>
        <v>3.6458389411392296E-2</v>
      </c>
      <c r="O21" s="551">
        <f>A2.3.1!O21/A2.3.1!O$39</f>
        <v>4.7839846369995803E-2</v>
      </c>
      <c r="P21" s="552">
        <f>A2.3.1!P21/A2.3.1!P$39</f>
        <v>5.3840381818157187E-2</v>
      </c>
      <c r="Q21" s="1"/>
      <c r="R21" s="1"/>
      <c r="S21" s="1"/>
    </row>
    <row r="22" spans="2:19" customFormat="1" ht="13.35" customHeight="1" x14ac:dyDescent="0.2">
      <c r="B22" s="26"/>
      <c r="C22" s="27" t="s">
        <v>118</v>
      </c>
      <c r="D22" s="312"/>
      <c r="E22" s="551">
        <f>A2.3.1!E22/A2.3.1!E$39</f>
        <v>3.1680292587554209E-3</v>
      </c>
      <c r="F22" s="551">
        <f>A2.3.1!F22/A2.3.1!F$39</f>
        <v>3.2046714547848609E-3</v>
      </c>
      <c r="G22" s="552">
        <f>A2.3.1!G22/A2.3.1!G$39</f>
        <v>3.0699143620116854E-3</v>
      </c>
      <c r="H22" s="551">
        <f>A2.3.1!H22/A2.3.1!H$39</f>
        <v>3.1680128471968136E-3</v>
      </c>
      <c r="I22" s="551">
        <f>A2.3.1!I22/A2.3.1!I$39</f>
        <v>3.2046714542174133E-3</v>
      </c>
      <c r="J22" s="552">
        <f>A2.3.1!J22/A2.3.1!J$39</f>
        <v>3.0699143637288443E-3</v>
      </c>
      <c r="K22" s="551">
        <f>A2.3.1!K22/A2.3.1!K$39</f>
        <v>3.1505800713934021E-3</v>
      </c>
      <c r="L22" s="551">
        <f>A2.3.1!L22/A2.3.1!L$39</f>
        <v>3.0009507437835938E-3</v>
      </c>
      <c r="M22" s="552">
        <f>A2.3.1!M22/A2.3.1!M$39</f>
        <v>2.8492044663521467E-3</v>
      </c>
      <c r="N22" s="551">
        <f>A2.3.1!N22/A2.3.1!N$39</f>
        <v>5.337293496524319E-3</v>
      </c>
      <c r="O22" s="551">
        <f>A2.3.1!O22/A2.3.1!O$39</f>
        <v>5.4470565321890277E-3</v>
      </c>
      <c r="P22" s="552">
        <f>A2.3.1!P22/A2.3.1!P$39</f>
        <v>5.5260027001111248E-3</v>
      </c>
      <c r="Q22" s="1"/>
      <c r="R22" s="1"/>
      <c r="S22" s="1"/>
    </row>
    <row r="23" spans="2:19" customFormat="1" ht="13.35" customHeight="1" x14ac:dyDescent="0.2">
      <c r="B23" s="26"/>
      <c r="C23" s="27" t="s">
        <v>119</v>
      </c>
      <c r="D23" s="312"/>
      <c r="E23" s="551">
        <f>A2.3.1!E23/A2.3.1!E$39</f>
        <v>4.7236101359112133E-3</v>
      </c>
      <c r="F23" s="551">
        <f>A2.3.1!F23/A2.3.1!F$39</f>
        <v>5.5107223133885018E-3</v>
      </c>
      <c r="G23" s="552">
        <f>A2.3.1!G23/A2.3.1!G$39</f>
        <v>5.4059725832160009E-3</v>
      </c>
      <c r="H23" s="551">
        <f>A2.3.1!H23/A2.3.1!H$39</f>
        <v>4.7235281486288873E-3</v>
      </c>
      <c r="I23" s="551">
        <f>A2.3.1!I23/A2.3.1!I$39</f>
        <v>5.5107223133608703E-3</v>
      </c>
      <c r="J23" s="552">
        <f>A2.3.1!J23/A2.3.1!J$39</f>
        <v>5.4059725820588189E-3</v>
      </c>
      <c r="K23" s="551">
        <f>A2.3.1!K23/A2.3.1!K$39</f>
        <v>4.9061807607090101E-3</v>
      </c>
      <c r="L23" s="551">
        <f>A2.3.1!L23/A2.3.1!L$39</f>
        <v>5.6537570732842872E-3</v>
      </c>
      <c r="M23" s="552">
        <f>A2.3.1!M23/A2.3.1!M$39</f>
        <v>5.6026372001394308E-3</v>
      </c>
      <c r="N23" s="551">
        <f>A2.3.1!N23/A2.3.1!N$39</f>
        <v>6.0988131451994798E-3</v>
      </c>
      <c r="O23" s="551">
        <f>A2.3.1!O23/A2.3.1!O$39</f>
        <v>6.9576312791531361E-3</v>
      </c>
      <c r="P23" s="552">
        <f>A2.3.1!P23/A2.3.1!P$39</f>
        <v>7.0601925583582293E-3</v>
      </c>
      <c r="Q23" s="1"/>
      <c r="R23" s="1"/>
      <c r="S23" s="1"/>
    </row>
    <row r="24" spans="2:19" customFormat="1" ht="13.35" customHeight="1" x14ac:dyDescent="0.2">
      <c r="B24" s="26"/>
      <c r="C24" s="27" t="s">
        <v>120</v>
      </c>
      <c r="D24" s="312"/>
      <c r="E24" s="551">
        <f>A2.3.1!E24/A2.3.1!E$39</f>
        <v>2.4958044301059113E-3</v>
      </c>
      <c r="F24" s="551">
        <f>A2.3.1!F24/A2.3.1!F$39</f>
        <v>1.4266062083752944E-3</v>
      </c>
      <c r="G24" s="552">
        <f>A2.3.1!G24/A2.3.1!G$39</f>
        <v>1.1469259848015715E-3</v>
      </c>
      <c r="H24" s="551">
        <f>A2.3.1!H24/A2.3.1!H$39</f>
        <v>2.4958223017707681E-3</v>
      </c>
      <c r="I24" s="551">
        <f>A2.3.1!I24/A2.3.1!I$39</f>
        <v>1.4266062087598915E-3</v>
      </c>
      <c r="J24" s="552">
        <f>A2.3.1!J24/A2.3.1!J$39</f>
        <v>1.1469259842000626E-3</v>
      </c>
      <c r="K24" s="551">
        <f>A2.3.1!K24/A2.3.1!K$39</f>
        <v>2.6993706917774495E-3</v>
      </c>
      <c r="L24" s="551">
        <f>A2.3.1!L24/A2.3.1!L$39</f>
        <v>1.5250886493940682E-3</v>
      </c>
      <c r="M24" s="552">
        <f>A2.3.1!M24/A2.3.1!M$39</f>
        <v>1.1982549018513134E-3</v>
      </c>
      <c r="N24" s="551">
        <f>A2.3.1!N24/A2.3.1!N$39</f>
        <v>2.5936693638296177E-3</v>
      </c>
      <c r="O24" s="551">
        <f>A2.3.1!O24/A2.3.1!O$39</f>
        <v>1.5005711982821982E-3</v>
      </c>
      <c r="P24" s="552">
        <f>A2.3.1!P24/A2.3.1!P$39</f>
        <v>1.1312230413390385E-3</v>
      </c>
      <c r="Q24" s="1"/>
      <c r="R24" s="1"/>
      <c r="S24" s="1"/>
    </row>
    <row r="25" spans="2:19" customFormat="1" ht="13.35" customHeight="1" x14ac:dyDescent="0.2">
      <c r="B25" s="26"/>
      <c r="C25" s="27" t="s">
        <v>415</v>
      </c>
      <c r="D25" s="312"/>
      <c r="E25" s="551">
        <f>A2.3.1!E25/A2.3.1!E$39</f>
        <v>0.13654100009145484</v>
      </c>
      <c r="F25" s="551">
        <f>A2.3.1!F25/A2.3.1!F$39</f>
        <v>0.12291939565002073</v>
      </c>
      <c r="G25" s="552">
        <f>A2.3.1!G25/A2.3.1!G$39</f>
        <v>9.1813052158220887E-2</v>
      </c>
      <c r="H25" s="551">
        <f>A2.3.1!H25/A2.3.1!H$39</f>
        <v>0.13654105380763354</v>
      </c>
      <c r="I25" s="551">
        <f>A2.3.1!I25/A2.3.1!I$39</f>
        <v>0.12291939564999384</v>
      </c>
      <c r="J25" s="552">
        <f>A2.3.1!J25/A2.3.1!J$39</f>
        <v>9.1813052156408934E-2</v>
      </c>
      <c r="K25" s="551">
        <f>A2.3.1!K25/A2.3.1!K$39</f>
        <v>0.15012866968242244</v>
      </c>
      <c r="L25" s="551">
        <f>A2.3.1!L25/A2.3.1!L$39</f>
        <v>0.13517764143787395</v>
      </c>
      <c r="M25" s="552">
        <f>A2.3.1!M25/A2.3.1!M$39</f>
        <v>0.10219523193763937</v>
      </c>
      <c r="N25" s="551">
        <f>A2.3.1!N25/A2.3.1!N$39</f>
        <v>0.17404286866213525</v>
      </c>
      <c r="O25" s="551">
        <f>A2.3.1!O25/A2.3.1!O$39</f>
        <v>0.1550712233716183</v>
      </c>
      <c r="P25" s="552">
        <f>A2.3.1!P25/A2.3.1!P$39</f>
        <v>0.11868353591971466</v>
      </c>
      <c r="Q25" s="1"/>
      <c r="R25" s="1"/>
      <c r="S25" s="1"/>
    </row>
    <row r="26" spans="2:19" customFormat="1" ht="13.35" customHeight="1" x14ac:dyDescent="0.2">
      <c r="B26" s="26"/>
      <c r="C26" s="27" t="s">
        <v>137</v>
      </c>
      <c r="D26" s="312"/>
      <c r="E26" s="551">
        <f>A2.3.1!E26/A2.3.1!E$39</f>
        <v>4.4195387408813066E-3</v>
      </c>
      <c r="F26" s="551">
        <f>A2.3.1!F26/A2.3.1!F$39</f>
        <v>4.7772090057117047E-3</v>
      </c>
      <c r="G26" s="552">
        <f>A2.3.1!G26/A2.3.1!G$39</f>
        <v>4.6434918129802331E-3</v>
      </c>
      <c r="H26" s="551">
        <f>A2.3.1!H26/A2.3.1!H$39</f>
        <v>4.4196228455213359E-3</v>
      </c>
      <c r="I26" s="551">
        <f>A2.3.1!I26/A2.3.1!I$39</f>
        <v>4.7772090051708144E-3</v>
      </c>
      <c r="J26" s="552">
        <f>A2.3.1!J26/A2.3.1!J$39</f>
        <v>4.643491814713031E-3</v>
      </c>
      <c r="K26" s="551">
        <f>A2.3.1!K26/A2.3.1!K$39</f>
        <v>5.0352351058591824E-3</v>
      </c>
      <c r="L26" s="551">
        <f>A2.3.1!L26/A2.3.1!L$39</f>
        <v>5.3994328081966754E-3</v>
      </c>
      <c r="M26" s="552">
        <f>A2.3.1!M26/A2.3.1!M$39</f>
        <v>5.263169048633453E-3</v>
      </c>
      <c r="N26" s="551">
        <f>A2.3.1!N26/A2.3.1!N$39</f>
        <v>4.8880164801465564E-3</v>
      </c>
      <c r="O26" s="551">
        <f>A2.3.1!O26/A2.3.1!O$39</f>
        <v>5.1498002066496908E-3</v>
      </c>
      <c r="P26" s="552">
        <f>A2.3.1!P26/A2.3.1!P$39</f>
        <v>5.2653494549463409E-3</v>
      </c>
      <c r="Q26" s="1"/>
      <c r="R26" s="1"/>
      <c r="S26" s="1"/>
    </row>
    <row r="27" spans="2:19" customFormat="1" ht="13.35" customHeight="1" x14ac:dyDescent="0.2">
      <c r="B27" s="26"/>
      <c r="C27" s="27" t="s">
        <v>121</v>
      </c>
      <c r="D27" s="312"/>
      <c r="E27" s="551">
        <f>A2.3.1!E27/A2.3.1!E$39</f>
        <v>9.4701370273445702E-4</v>
      </c>
      <c r="F27" s="551">
        <f>A2.3.1!F27/A2.3.1!F$39</f>
        <v>1.0979647840547366E-3</v>
      </c>
      <c r="G27" s="552">
        <f>A2.3.1!G27/A2.3.1!G$39</f>
        <v>1.1328440238108602E-3</v>
      </c>
      <c r="H27" s="551">
        <f>A2.3.1!H27/A2.3.1!H$39</f>
        <v>9.4710488211873184E-4</v>
      </c>
      <c r="I27" s="551">
        <f>A2.3.1!I27/A2.3.1!I$39</f>
        <v>1.0979647837186441E-3</v>
      </c>
      <c r="J27" s="552">
        <f>A2.3.1!J27/A2.3.1!J$39</f>
        <v>1.1328440215268032E-3</v>
      </c>
      <c r="K27" s="551">
        <f>A2.3.1!K27/A2.3.1!K$39</f>
        <v>9.278064992614476E-4</v>
      </c>
      <c r="L27" s="551">
        <f>A2.3.1!L27/A2.3.1!L$39</f>
        <v>1.0827804351225402E-3</v>
      </c>
      <c r="M27" s="552">
        <f>A2.3.1!M27/A2.3.1!M$39</f>
        <v>1.1340044503648824E-3</v>
      </c>
      <c r="N27" s="551">
        <f>A2.3.1!N27/A2.3.1!N$39</f>
        <v>1.5142299440880137E-3</v>
      </c>
      <c r="O27" s="551">
        <f>A2.3.1!O27/A2.3.1!O$39</f>
        <v>1.8907157544896915E-3</v>
      </c>
      <c r="P27" s="552">
        <f>A2.3.1!P27/A2.3.1!P$39</f>
        <v>2.0726937569201433E-3</v>
      </c>
      <c r="Q27" s="1"/>
      <c r="R27" s="1"/>
      <c r="S27" s="1"/>
    </row>
    <row r="28" spans="2:19" customFormat="1" ht="13.35" customHeight="1" x14ac:dyDescent="0.2">
      <c r="B28" s="26"/>
      <c r="C28" s="27" t="s">
        <v>122</v>
      </c>
      <c r="D28" s="312"/>
      <c r="E28" s="551">
        <f>A2.3.1!E28/A2.3.1!E$39</f>
        <v>0.15327553642713776</v>
      </c>
      <c r="F28" s="551">
        <f>A2.3.1!F28/A2.3.1!F$39</f>
        <v>0.10065076720245854</v>
      </c>
      <c r="G28" s="552">
        <f>A2.3.1!G28/A2.3.1!G$39</f>
        <v>9.39967872456796E-2</v>
      </c>
      <c r="H28" s="551">
        <f>A2.3.1!H28/A2.3.1!H$39</f>
        <v>0.15327563931079075</v>
      </c>
      <c r="I28" s="551">
        <f>A2.3.1!I28/A2.3.1!I$39</f>
        <v>0.10065076720232954</v>
      </c>
      <c r="J28" s="552">
        <f>A2.3.1!J28/A2.3.1!J$39</f>
        <v>9.399678724825157E-2</v>
      </c>
      <c r="K28" s="551">
        <f>A2.3.1!K28/A2.3.1!K$39</f>
        <v>0.10376373245937962</v>
      </c>
      <c r="L28" s="551">
        <f>A2.3.1!L28/A2.3.1!L$39</f>
        <v>6.4176582323455772E-2</v>
      </c>
      <c r="M28" s="552">
        <f>A2.3.1!M28/A2.3.1!M$39</f>
        <v>6.0926803486548227E-2</v>
      </c>
      <c r="N28" s="551">
        <f>A2.3.1!N28/A2.3.1!N$39</f>
        <v>6.2277820769596849E-2</v>
      </c>
      <c r="O28" s="551">
        <f>A2.3.1!O28/A2.3.1!O$39</f>
        <v>3.9380106930872405E-2</v>
      </c>
      <c r="P28" s="552">
        <f>A2.3.1!P28/A2.3.1!P$39</f>
        <v>3.7603965728073632E-2</v>
      </c>
      <c r="Q28" s="1"/>
      <c r="R28" s="1"/>
      <c r="S28" s="1"/>
    </row>
    <row r="29" spans="2:19" customFormat="1" ht="13.35" customHeight="1" x14ac:dyDescent="0.2">
      <c r="B29" s="26"/>
      <c r="C29" s="27" t="s">
        <v>123</v>
      </c>
      <c r="D29" s="312"/>
      <c r="E29" s="551">
        <f>A2.3.1!E29/A2.3.1!E$39</f>
        <v>4.1907955700214036E-4</v>
      </c>
      <c r="F29" s="551">
        <f>A2.3.1!F29/A2.3.1!F$39</f>
        <v>6.3788464880102107E-4</v>
      </c>
      <c r="G29" s="552">
        <f>A2.3.1!G29/A2.3.1!G$39</f>
        <v>7.2018696122397546E-4</v>
      </c>
      <c r="H29" s="551">
        <f>A2.3.1!H29/A2.3.1!H$39</f>
        <v>4.1906941796936072E-4</v>
      </c>
      <c r="I29" s="551">
        <f>A2.3.1!I29/A2.3.1!I$39</f>
        <v>6.3788464934342378E-4</v>
      </c>
      <c r="J29" s="552">
        <f>A2.3.1!J29/A2.3.1!J$39</f>
        <v>7.201869598501534E-4</v>
      </c>
      <c r="K29" s="551">
        <f>A2.3.1!K29/A2.3.1!K$39</f>
        <v>4.5332502461841459E-4</v>
      </c>
      <c r="L29" s="551">
        <f>A2.3.1!L29/A2.3.1!L$39</f>
        <v>6.5598122485064096E-4</v>
      </c>
      <c r="M29" s="552">
        <f>A2.3.1!M29/A2.3.1!M$39</f>
        <v>7.2914327491808691E-4</v>
      </c>
      <c r="N29" s="551">
        <f>A2.3.1!N29/A2.3.1!N$39</f>
        <v>6.5130485119338347E-4</v>
      </c>
      <c r="O29" s="551">
        <f>A2.3.1!O29/A2.3.1!O$39</f>
        <v>1.005711740500138E-3</v>
      </c>
      <c r="P29" s="552">
        <f>A2.3.1!P29/A2.3.1!P$39</f>
        <v>1.1860421223502593E-3</v>
      </c>
      <c r="Q29" s="1"/>
      <c r="R29" s="1"/>
      <c r="S29" s="1"/>
    </row>
    <row r="30" spans="2:19" customFormat="1" ht="13.35" customHeight="1" x14ac:dyDescent="0.2">
      <c r="B30" s="26"/>
      <c r="C30" s="27" t="s">
        <v>124</v>
      </c>
      <c r="D30" s="312"/>
      <c r="E30" s="551">
        <f>A2.3.1!E30/A2.3.1!E$39</f>
        <v>7.1880101232645599E-3</v>
      </c>
      <c r="F30" s="551">
        <f>A2.3.1!F30/A2.3.1!F$39</f>
        <v>7.2420797173249306E-3</v>
      </c>
      <c r="G30" s="552">
        <f>A2.3.1!G30/A2.3.1!G$39</f>
        <v>6.4233743216773557E-3</v>
      </c>
      <c r="H30" s="551">
        <f>A2.3.1!H30/A2.3.1!H$39</f>
        <v>7.1879602315918362E-3</v>
      </c>
      <c r="I30" s="551">
        <f>A2.3.1!I30/A2.3.1!I$39</f>
        <v>7.2420797168594392E-3</v>
      </c>
      <c r="J30" s="552">
        <f>A2.3.1!J30/A2.3.1!J$39</f>
        <v>6.4233743192084452E-3</v>
      </c>
      <c r="K30" s="551">
        <f>A2.3.1!K30/A2.3.1!K$39</f>
        <v>7.6051667897587393E-3</v>
      </c>
      <c r="L30" s="551">
        <f>A2.3.1!L30/A2.3.1!L$39</f>
        <v>7.3656579140691106E-3</v>
      </c>
      <c r="M30" s="552">
        <f>A2.3.1!M30/A2.3.1!M$39</f>
        <v>6.5433011935406545E-3</v>
      </c>
      <c r="N30" s="551">
        <f>A2.3.1!N30/A2.3.1!N$39</f>
        <v>8.1541331429990996E-3</v>
      </c>
      <c r="O30" s="551">
        <f>A2.3.1!O30/A2.3.1!O$39</f>
        <v>7.707803614838608E-3</v>
      </c>
      <c r="P30" s="552">
        <f>A2.3.1!P30/A2.3.1!P$39</f>
        <v>6.7125732391260717E-3</v>
      </c>
      <c r="Q30" s="1"/>
      <c r="R30" s="1"/>
      <c r="S30" s="1"/>
    </row>
    <row r="31" spans="2:19" customFormat="1" ht="13.35" customHeight="1" x14ac:dyDescent="0.2">
      <c r="B31" s="26"/>
      <c r="C31" s="27" t="s">
        <v>130</v>
      </c>
      <c r="D31" s="312"/>
      <c r="E31" s="551">
        <f>A2.3.1!E31/A2.3.1!E$39</f>
        <v>3.7897523483839124E-3</v>
      </c>
      <c r="F31" s="551">
        <f>A2.3.1!F31/A2.3.1!F$39</f>
        <v>3.8685539758404157E-3</v>
      </c>
      <c r="G31" s="552">
        <f>A2.3.1!G31/A2.3.1!G$39</f>
        <v>3.7166964304218091E-3</v>
      </c>
      <c r="H31" s="551">
        <f>A2.3.1!H31/A2.3.1!H$39</f>
        <v>3.7898190923708174E-3</v>
      </c>
      <c r="I31" s="551">
        <f>A2.3.1!I31/A2.3.1!I$39</f>
        <v>3.8685539760297256E-3</v>
      </c>
      <c r="J31" s="552">
        <f>A2.3.1!J31/A2.3.1!J$39</f>
        <v>3.7166964281119424E-3</v>
      </c>
      <c r="K31" s="551">
        <f>A2.3.1!K31/A2.3.1!K$39</f>
        <v>3.7525772402757264E-3</v>
      </c>
      <c r="L31" s="551">
        <f>A2.3.1!L31/A2.3.1!L$39</f>
        <v>3.8268564023822625E-3</v>
      </c>
      <c r="M31" s="552">
        <f>A2.3.1!M31/A2.3.1!M$39</f>
        <v>3.7197027303476366E-3</v>
      </c>
      <c r="N31" s="551">
        <f>A2.3.1!N31/A2.3.1!N$39</f>
        <v>3.9076333437544717E-3</v>
      </c>
      <c r="O31" s="551">
        <f>A2.3.1!O31/A2.3.1!O$39</f>
        <v>2.462595792851561E-3</v>
      </c>
      <c r="P31" s="552">
        <f>A2.3.1!P31/A2.3.1!P$39</f>
        <v>3.965644543669958E-3</v>
      </c>
      <c r="Q31" s="1"/>
      <c r="R31" s="1"/>
      <c r="S31" s="1"/>
    </row>
    <row r="32" spans="2:19" customFormat="1" ht="13.35" customHeight="1" x14ac:dyDescent="0.2">
      <c r="B32" s="26"/>
      <c r="C32" s="27" t="s">
        <v>7</v>
      </c>
      <c r="D32" s="312"/>
      <c r="E32" s="551">
        <f>A2.3.1!E32/A2.3.1!E$39</f>
        <v>1.1916712871514027E-3</v>
      </c>
      <c r="F32" s="551">
        <f>A2.3.1!F32/A2.3.1!F$39</f>
        <v>1.1061952749252411E-3</v>
      </c>
      <c r="G32" s="552">
        <f>A2.3.1!G32/A2.3.1!G$39</f>
        <v>1.0450270572523518E-3</v>
      </c>
      <c r="H32" s="551">
        <f>A2.3.1!H32/A2.3.1!H$39</f>
        <v>1.1916286885006633E-3</v>
      </c>
      <c r="I32" s="551">
        <f>A2.3.1!I32/A2.3.1!I$39</f>
        <v>1.1061952754765506E-3</v>
      </c>
      <c r="J32" s="552">
        <f>A2.3.1!J32/A2.3.1!J$39</f>
        <v>1.0450270565465752E-3</v>
      </c>
      <c r="K32" s="551">
        <f>A2.3.1!K32/A2.3.1!K$39</f>
        <v>1.1668743845396356E-3</v>
      </c>
      <c r="L32" s="551">
        <f>A2.3.1!L32/A2.3.1!L$39</f>
        <v>1.1028163562649142E-3</v>
      </c>
      <c r="M32" s="552">
        <f>A2.3.1!M32/A2.3.1!M$39</f>
        <v>1.0687403030941584E-3</v>
      </c>
      <c r="N32" s="551">
        <f>A2.3.1!N32/A2.3.1!N$39</f>
        <v>1.4079304147228177E-3</v>
      </c>
      <c r="O32" s="551">
        <f>A2.3.1!O32/A2.3.1!O$39</f>
        <v>1.3087489874211722E-3</v>
      </c>
      <c r="P32" s="552">
        <f>A2.3.1!P32/A2.3.1!P$39</f>
        <v>1.251139192245395E-3</v>
      </c>
      <c r="Q32" s="1"/>
      <c r="R32" s="1"/>
      <c r="S32" s="1"/>
    </row>
    <row r="33" spans="2:19" customFormat="1" ht="13.35" customHeight="1" x14ac:dyDescent="0.2">
      <c r="B33" s="26"/>
      <c r="C33" s="27" t="s">
        <v>125</v>
      </c>
      <c r="D33" s="312"/>
      <c r="E33" s="551">
        <f>A2.3.1!E33/A2.3.1!E$39</f>
        <v>1.7590731785051866E-4</v>
      </c>
      <c r="F33" s="551">
        <f>A2.3.1!F33/A2.3.1!F$39</f>
        <v>-5.5321080103408875E-6</v>
      </c>
      <c r="G33" s="552">
        <f>A2.3.1!G33/A2.3.1!G$39</f>
        <v>5.5449223071917265E-5</v>
      </c>
      <c r="H33" s="551">
        <f>A2.3.1!H33/A2.3.1!H$39</f>
        <v>1.7594517548331939E-4</v>
      </c>
      <c r="I33" s="551">
        <f>A2.3.1!I33/A2.3.1!I$39</f>
        <v>-5.5321075804603784E-6</v>
      </c>
      <c r="J33" s="552">
        <f>A2.3.1!J33/A2.3.1!J$39</f>
        <v>5.5449225509579411E-5</v>
      </c>
      <c r="K33" s="551">
        <f>A2.3.1!K33/A2.3.1!K$39</f>
        <v>1.7040558838010833E-4</v>
      </c>
      <c r="L33" s="551">
        <f>A2.3.1!L33/A2.3.1!L$39</f>
        <v>2.136407873125071E-5</v>
      </c>
      <c r="M33" s="552">
        <f>A2.3.1!M33/A2.3.1!M$39</f>
        <v>5.5340685016647575E-5</v>
      </c>
      <c r="N33" s="551">
        <f>A2.3.1!N33/A2.3.1!N$39</f>
        <v>6.233106841598236E-4</v>
      </c>
      <c r="O33" s="551">
        <f>A2.3.1!O33/A2.3.1!O$39</f>
        <v>6.5672925867389783E-4</v>
      </c>
      <c r="P33" s="552">
        <f>A2.3.1!P33/A2.3.1!P$39</f>
        <v>7.4229122788168635E-4</v>
      </c>
      <c r="Q33" s="1"/>
      <c r="R33" s="1"/>
      <c r="S33" s="1"/>
    </row>
    <row r="34" spans="2:19" customFormat="1" ht="13.35" customHeight="1" x14ac:dyDescent="0.2">
      <c r="B34" s="26"/>
      <c r="C34" s="27" t="s">
        <v>126</v>
      </c>
      <c r="D34" s="312"/>
      <c r="E34" s="551">
        <f>A2.3.1!E34/A2.3.1!E$39</f>
        <v>2.464781933278715E-2</v>
      </c>
      <c r="F34" s="551">
        <f>A2.3.1!F34/A2.3.1!F$39</f>
        <v>2.7020940364326552E-2</v>
      </c>
      <c r="G34" s="552">
        <f>A2.3.1!G34/A2.3.1!G$39</f>
        <v>2.808299808728338E-2</v>
      </c>
      <c r="H34" s="551">
        <f>A2.3.1!H34/A2.3.1!H$39</f>
        <v>2.4647919708218918E-2</v>
      </c>
      <c r="I34" s="551">
        <f>A2.3.1!I34/A2.3.1!I$39</f>
        <v>2.7020940364227516E-2</v>
      </c>
      <c r="J34" s="552">
        <f>A2.3.1!J34/A2.3.1!J$39</f>
        <v>2.8082998086878856E-2</v>
      </c>
      <c r="K34" s="551">
        <f>A2.3.1!K34/A2.3.1!K$39</f>
        <v>2.9235713626292466E-2</v>
      </c>
      <c r="L34" s="551">
        <f>A2.3.1!L34/A2.3.1!L$39</f>
        <v>3.2121921578315234E-2</v>
      </c>
      <c r="M34" s="552">
        <f>A2.3.1!M34/A2.3.1!M$39</f>
        <v>3.2314932031051867E-2</v>
      </c>
      <c r="N34" s="551">
        <f>A2.3.1!N34/A2.3.1!N$39</f>
        <v>3.2543708585027975E-2</v>
      </c>
      <c r="O34" s="551">
        <f>A2.3.1!O34/A2.3.1!O$39</f>
        <v>3.6500731560694534E-2</v>
      </c>
      <c r="P34" s="552">
        <f>A2.3.1!P34/A2.3.1!P$39</f>
        <v>3.6673951280491043E-2</v>
      </c>
      <c r="Q34" s="1"/>
      <c r="R34" s="1"/>
      <c r="S34" s="1"/>
    </row>
    <row r="35" spans="2:19" customFormat="1" ht="13.35" customHeight="1" x14ac:dyDescent="0.2">
      <c r="B35" s="26"/>
      <c r="C35" s="27" t="s">
        <v>138</v>
      </c>
      <c r="D35" s="312"/>
      <c r="E35" s="551">
        <f>A2.3.1!E35/A2.3.1!E$39</f>
        <v>1.0041570570132805E-2</v>
      </c>
      <c r="F35" s="551">
        <f>A2.3.1!F35/A2.3.1!F$39</f>
        <v>1.0968909056155864E-2</v>
      </c>
      <c r="G35" s="552">
        <f>A2.3.1!G35/A2.3.1!G$39</f>
        <v>1.0516549997385591E-2</v>
      </c>
      <c r="H35" s="551">
        <f>A2.3.1!H35/A2.3.1!H$39</f>
        <v>1.0041471077612217E-2</v>
      </c>
      <c r="I35" s="551">
        <f>A2.3.1!I35/A2.3.1!I$39</f>
        <v>1.0968909055988393E-2</v>
      </c>
      <c r="J35" s="552">
        <f>A2.3.1!J35/A2.3.1!J$39</f>
        <v>1.0516550000270932E-2</v>
      </c>
      <c r="K35" s="551">
        <f>A2.3.1!K35/A2.3.1!K$39</f>
        <v>1.0139324839980306E-2</v>
      </c>
      <c r="L35" s="551">
        <f>A2.3.1!L35/A2.3.1!L$39</f>
        <v>1.0956557545988156E-2</v>
      </c>
      <c r="M35" s="552">
        <f>A2.3.1!M35/A2.3.1!M$39</f>
        <v>1.0595477696961477E-2</v>
      </c>
      <c r="N35" s="551">
        <f>A2.3.1!N35/A2.3.1!N$39</f>
        <v>1.2119908218284811E-2</v>
      </c>
      <c r="O35" s="551">
        <f>A2.3.1!O35/A2.3.1!O$39</f>
        <v>1.3126633842452363E-2</v>
      </c>
      <c r="P35" s="552">
        <f>A2.3.1!P35/A2.3.1!P$39</f>
        <v>1.2918851759225627E-2</v>
      </c>
      <c r="Q35" s="1"/>
      <c r="R35" s="1"/>
      <c r="S35" s="1"/>
    </row>
    <row r="36" spans="2:19" customFormat="1" ht="13.35" customHeight="1" x14ac:dyDescent="0.2">
      <c r="B36" s="26"/>
      <c r="C36" s="27" t="s">
        <v>127</v>
      </c>
      <c r="D36" s="312"/>
      <c r="E36" s="551">
        <f>A2.3.1!E36/A2.3.1!E$39</f>
        <v>1.7761970874925655E-2</v>
      </c>
      <c r="F36" s="551">
        <f>A2.3.1!F36/A2.3.1!F$39</f>
        <v>2.1646834247400902E-2</v>
      </c>
      <c r="G36" s="552">
        <f>A2.3.1!G36/A2.3.1!G$39</f>
        <v>2.3142256847129915E-2</v>
      </c>
      <c r="H36" s="551">
        <f>A2.3.1!H36/A2.3.1!H$39</f>
        <v>1.776206534043992E-2</v>
      </c>
      <c r="I36" s="551">
        <f>A2.3.1!I36/A2.3.1!I$39</f>
        <v>2.1646834247096663E-2</v>
      </c>
      <c r="J36" s="552">
        <f>A2.3.1!J36/A2.3.1!J$39</f>
        <v>2.314225684743133E-2</v>
      </c>
      <c r="K36" s="551">
        <f>A2.3.1!K36/A2.3.1!K$39</f>
        <v>1.8870014771048743E-2</v>
      </c>
      <c r="L36" s="551">
        <f>A2.3.1!L36/A2.3.1!L$39</f>
        <v>2.1647255693054313E-2</v>
      </c>
      <c r="M36" s="552">
        <f>A2.3.1!M36/A2.3.1!M$39</f>
        <v>2.2909171810285275E-2</v>
      </c>
      <c r="N36" s="551">
        <f>A2.3.1!N36/A2.3.1!N$39</f>
        <v>2.0891283379863033E-2</v>
      </c>
      <c r="O36" s="551">
        <f>A2.3.1!O36/A2.3.1!O$39</f>
        <v>2.4069822947587714E-2</v>
      </c>
      <c r="P36" s="552">
        <f>A2.3.1!P36/A2.3.1!P$39</f>
        <v>2.577734576641405E-2</v>
      </c>
      <c r="Q36" s="1"/>
      <c r="R36" s="1"/>
      <c r="S36" s="1"/>
    </row>
    <row r="37" spans="2:19" customFormat="1" ht="13.35" customHeight="1" x14ac:dyDescent="0.2">
      <c r="B37" s="26"/>
      <c r="C37" s="27" t="s">
        <v>139</v>
      </c>
      <c r="D37" s="312"/>
      <c r="E37" s="551">
        <f>A2.3.1!E37/A2.3.1!E$39</f>
        <v>1.5634319878439344E-3</v>
      </c>
      <c r="F37" s="551">
        <f>A2.3.1!F37/A2.3.1!F$39</f>
        <v>1.4745971581638538E-3</v>
      </c>
      <c r="G37" s="552">
        <f>A2.3.1!G37/A2.3.1!G$39</f>
        <v>1.4458496028071045E-3</v>
      </c>
      <c r="H37" s="551">
        <f>A2.3.1!H37/A2.3.1!H$39</f>
        <v>1.5635128094085883E-3</v>
      </c>
      <c r="I37" s="551">
        <f>A2.3.1!I37/A2.3.1!I$39</f>
        <v>1.4745971584897522E-3</v>
      </c>
      <c r="J37" s="552">
        <f>A2.3.1!J37/A2.3.1!J$39</f>
        <v>1.4458496042367784E-3</v>
      </c>
      <c r="K37" s="551">
        <f>A2.3.1!K37/A2.3.1!K$39</f>
        <v>2.9184361152141802E-3</v>
      </c>
      <c r="L37" s="551">
        <f>A2.3.1!L37/A2.3.1!L$39</f>
        <v>2.2632000955722137E-3</v>
      </c>
      <c r="M37" s="552">
        <f>A2.3.1!M37/A2.3.1!M$39</f>
        <v>1.9496811793817191E-3</v>
      </c>
      <c r="N37" s="551">
        <f>A2.3.1!N37/A2.3.1!N$39</f>
        <v>2.6807840794235631E-3</v>
      </c>
      <c r="O37" s="551">
        <f>A2.3.1!O37/A2.3.1!O$39</f>
        <v>2.2608484825677295E-3</v>
      </c>
      <c r="P37" s="552">
        <f>A2.3.1!P37/A2.3.1!P$39</f>
        <v>2.0334529732437471E-3</v>
      </c>
      <c r="Q37" s="1"/>
      <c r="R37" s="1"/>
      <c r="S37" s="1"/>
    </row>
    <row r="38" spans="2:19" customFormat="1" ht="13.35" customHeight="1" x14ac:dyDescent="0.2">
      <c r="B38" s="525"/>
      <c r="C38" s="500" t="s">
        <v>4</v>
      </c>
      <c r="D38" s="528"/>
      <c r="E38" s="553">
        <f>A2.3.1!E38/A2.3.1!E$39</f>
        <v>6.5092073370114731E-2</v>
      </c>
      <c r="F38" s="553">
        <f>A2.3.1!F38/A2.3.1!F$39</f>
        <v>2.807417168772347E-2</v>
      </c>
      <c r="G38" s="554">
        <f>A2.3.1!G38/A2.3.1!G$39</f>
        <v>2.7147164817495469E-2</v>
      </c>
      <c r="H38" s="553">
        <f>A2.3.1!H38/A2.3.1!H$39</f>
        <v>6.5091517483152256E-2</v>
      </c>
      <c r="I38" s="553">
        <f>A2.3.1!I38/A2.3.1!I$39</f>
        <v>2.8074171687682014E-2</v>
      </c>
      <c r="J38" s="554">
        <f>A2.3.1!J38/A2.3.1!J$39</f>
        <v>2.7147164813765171E-2</v>
      </c>
      <c r="K38" s="553">
        <f>A2.3.1!K38/A2.3.1!K$39</f>
        <v>7.447762801575579E-2</v>
      </c>
      <c r="L38" s="553">
        <f>A2.3.1!L38/A2.3.1!L$39</f>
        <v>3.9738940074874142E-2</v>
      </c>
      <c r="M38" s="554">
        <f>A2.3.1!M38/A2.3.1!M$39</f>
        <v>3.8108353281059076E-2</v>
      </c>
      <c r="N38" s="553">
        <f>A2.3.1!N38/A2.3.1!N$39</f>
        <v>3.945513562782401E-2</v>
      </c>
      <c r="O38" s="553">
        <f>A2.3.1!O38/A2.3.1!O$39</f>
        <v>1.3390711617085996E-2</v>
      </c>
      <c r="P38" s="554">
        <f>A2.3.1!P38/A2.3.1!P$39</f>
        <v>1.9114215956913629E-2</v>
      </c>
      <c r="Q38" s="1"/>
      <c r="R38" s="83">
        <f>AVERAGE(E38,H38,K38,N38)</f>
        <v>6.1029088624211698E-2</v>
      </c>
      <c r="S38" s="1"/>
    </row>
    <row r="39" spans="2:19" customFormat="1" ht="13.35" customHeight="1" x14ac:dyDescent="0.2">
      <c r="B39" s="525"/>
      <c r="C39" s="501" t="s">
        <v>8</v>
      </c>
      <c r="D39" s="529"/>
      <c r="E39" s="555">
        <f>A2.3.1!E39/A2.3.1!E$39</f>
        <v>1</v>
      </c>
      <c r="F39" s="555">
        <f>A2.3.1!F39/A2.3.1!F$39</f>
        <v>1</v>
      </c>
      <c r="G39" s="556">
        <f>A2.3.1!G39/A2.3.1!G$39</f>
        <v>1</v>
      </c>
      <c r="H39" s="555">
        <f>A2.3.1!H39/A2.3.1!H$39</f>
        <v>1</v>
      </c>
      <c r="I39" s="555">
        <f>A2.3.1!I39/A2.3.1!I$39</f>
        <v>1</v>
      </c>
      <c r="J39" s="556">
        <f>A2.3.1!J39/A2.3.1!J$39</f>
        <v>1</v>
      </c>
      <c r="K39" s="555">
        <f>A2.3.1!K39/A2.3.1!K$39</f>
        <v>1</v>
      </c>
      <c r="L39" s="555">
        <f>A2.3.1!L39/A2.3.1!L$39</f>
        <v>1</v>
      </c>
      <c r="M39" s="556">
        <f>A2.3.1!M39/A2.3.1!M$39</f>
        <v>1</v>
      </c>
      <c r="N39" s="555">
        <f>A2.3.1!N39/A2.3.1!N$39</f>
        <v>1</v>
      </c>
      <c r="O39" s="555">
        <f>A2.3.1!O39/A2.3.1!O$39</f>
        <v>1</v>
      </c>
      <c r="P39" s="556">
        <f>A2.3.1!P39/A2.3.1!P$39</f>
        <v>1</v>
      </c>
      <c r="Q39" s="1"/>
      <c r="R39" s="1"/>
      <c r="S39" s="1"/>
    </row>
    <row r="40" spans="2:19" customFormat="1" ht="13.35" customHeight="1" x14ac:dyDescent="0.2">
      <c r="K40" s="1"/>
      <c r="L40" s="1"/>
      <c r="Q40" s="1"/>
      <c r="R40" s="1"/>
      <c r="S40" s="1"/>
    </row>
    <row r="41" spans="2:19" customFormat="1" ht="13.35" customHeight="1" x14ac:dyDescent="0.2">
      <c r="H41" s="352" t="s">
        <v>371</v>
      </c>
      <c r="I41" s="352"/>
      <c r="K41" s="1"/>
      <c r="L41" s="1"/>
      <c r="Q41" s="1"/>
      <c r="R41" s="1"/>
      <c r="S41" s="1"/>
    </row>
    <row r="42" spans="2:19" customFormat="1" ht="13.35" customHeight="1" x14ac:dyDescent="0.2">
      <c r="K42" s="1"/>
      <c r="L42" s="1"/>
      <c r="Q42" s="1"/>
      <c r="R42" s="1"/>
      <c r="S42" s="1"/>
    </row>
    <row r="43" spans="2:19" customFormat="1" ht="13.35" customHeight="1" x14ac:dyDescent="0.2">
      <c r="K43" s="1"/>
      <c r="L43" s="1"/>
      <c r="Q43" s="1"/>
      <c r="R43" s="1"/>
      <c r="S43" s="1"/>
    </row>
    <row r="44" spans="2:19" customFormat="1" ht="13.35" customHeight="1" x14ac:dyDescent="0.2">
      <c r="K44" s="1"/>
      <c r="L44" s="1"/>
      <c r="Q44" s="1"/>
      <c r="R44" s="1"/>
      <c r="S44" s="1"/>
    </row>
    <row r="45" spans="2:19" customFormat="1" ht="13.35" hidden="1" customHeight="1" x14ac:dyDescent="0.2">
      <c r="E45" s="2"/>
      <c r="F45" s="2"/>
      <c r="K45" s="83">
        <f>K14+K4+K12+K17</f>
        <v>0.44699039881831615</v>
      </c>
      <c r="L45" s="83">
        <f>L14+L4+L12+L17</f>
        <v>0.50531230728983878</v>
      </c>
      <c r="M45" s="83">
        <f>M14+M4+M12+M17</f>
        <v>0.52781089806980441</v>
      </c>
      <c r="Q45" s="1"/>
      <c r="R45" s="1"/>
      <c r="S45" s="1"/>
    </row>
    <row r="46" spans="2:19" customFormat="1" ht="13.35" customHeight="1" x14ac:dyDescent="0.2">
      <c r="K46" s="1"/>
      <c r="L46" s="1"/>
      <c r="Q46" s="1"/>
      <c r="R46" s="1"/>
      <c r="S46" s="1"/>
    </row>
    <row r="47" spans="2:19" customFormat="1" ht="13.35" customHeight="1" x14ac:dyDescent="0.2">
      <c r="K47" s="1"/>
      <c r="L47" s="1"/>
      <c r="Q47" s="1"/>
      <c r="R47" s="1"/>
      <c r="S47" s="1"/>
    </row>
  </sheetData>
  <mergeCells count="1">
    <mergeCell ref="C3:D3"/>
  </mergeCells>
  <phoneticPr fontId="10" type="noConversion"/>
  <hyperlinks>
    <hyperlink ref="H41" location="CONTENTS!A1" display="BACK TO CONTENTS"/>
  </hyperlinks>
  <pageMargins left="0.98425196850393704" right="0.98425196850393704" top="0.98425196850393704" bottom="0.98425196850393704" header="0.51181102362204722" footer="0.51181102362204722"/>
  <pageSetup paperSize="9"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P49"/>
  <sheetViews>
    <sheetView showGridLines="0" zoomScaleNormal="100" zoomScaleSheetLayoutView="90" workbookViewId="0"/>
  </sheetViews>
  <sheetFormatPr defaultColWidth="9.140625" defaultRowHeight="12.75" x14ac:dyDescent="0.2"/>
  <cols>
    <col min="1" max="1" width="3.7109375" style="806" customWidth="1"/>
    <col min="2" max="2" width="1.7109375" style="824" customWidth="1"/>
    <col min="3" max="3" width="1.7109375" style="833" customWidth="1"/>
    <col min="4" max="4" width="42.7109375" style="833" customWidth="1"/>
    <col min="5" max="7" width="9" style="833" customWidth="1"/>
    <col min="8" max="9" width="9" style="834" customWidth="1"/>
    <col min="10" max="16" width="9" style="836" customWidth="1"/>
    <col min="17" max="17" width="6.5703125" style="806" bestFit="1" customWidth="1"/>
    <col min="18" max="16384" width="9.140625" style="806"/>
  </cols>
  <sheetData>
    <row r="1" spans="2:16" s="801" customFormat="1" ht="15" customHeight="1" x14ac:dyDescent="0.2">
      <c r="B1" s="439" t="s">
        <v>426</v>
      </c>
      <c r="C1" s="797"/>
      <c r="D1" s="797"/>
      <c r="E1" s="798"/>
      <c r="F1" s="798"/>
      <c r="G1" s="798"/>
      <c r="H1" s="799"/>
      <c r="I1" s="799"/>
      <c r="J1" s="800"/>
      <c r="K1" s="800"/>
      <c r="L1" s="800"/>
      <c r="M1" s="800"/>
      <c r="N1" s="800"/>
      <c r="O1" s="800"/>
      <c r="P1" s="800"/>
    </row>
    <row r="2" spans="2:16" s="801" customFormat="1" ht="15" customHeight="1" x14ac:dyDescent="0.2">
      <c r="B2" s="802"/>
      <c r="C2" s="803" t="s">
        <v>168</v>
      </c>
      <c r="D2" s="804"/>
      <c r="E2" s="466" t="s">
        <v>576</v>
      </c>
      <c r="F2" s="467"/>
      <c r="G2" s="468"/>
      <c r="H2" s="469" t="s">
        <v>577</v>
      </c>
      <c r="I2" s="467"/>
      <c r="J2" s="468"/>
      <c r="K2" s="469" t="s">
        <v>578</v>
      </c>
      <c r="L2" s="467"/>
      <c r="M2" s="468"/>
      <c r="N2" s="469" t="s">
        <v>579</v>
      </c>
      <c r="O2" s="467"/>
      <c r="P2" s="468"/>
    </row>
    <row r="3" spans="2:16" ht="38.1" customHeight="1" x14ac:dyDescent="0.2">
      <c r="B3" s="805"/>
      <c r="C3" s="1038" t="s">
        <v>1</v>
      </c>
      <c r="D3" s="1039"/>
      <c r="E3" s="795" t="s">
        <v>17</v>
      </c>
      <c r="F3" s="795" t="s">
        <v>67</v>
      </c>
      <c r="G3" s="796" t="s">
        <v>68</v>
      </c>
      <c r="H3" s="795" t="s">
        <v>17</v>
      </c>
      <c r="I3" s="795" t="s">
        <v>67</v>
      </c>
      <c r="J3" s="796" t="s">
        <v>68</v>
      </c>
      <c r="K3" s="795" t="s">
        <v>17</v>
      </c>
      <c r="L3" s="795" t="s">
        <v>67</v>
      </c>
      <c r="M3" s="796" t="s">
        <v>68</v>
      </c>
      <c r="N3" s="795" t="s">
        <v>17</v>
      </c>
      <c r="O3" s="795" t="s">
        <v>67</v>
      </c>
      <c r="P3" s="796" t="s">
        <v>68</v>
      </c>
    </row>
    <row r="4" spans="2:16" ht="13.35" customHeight="1" x14ac:dyDescent="0.2">
      <c r="B4" s="807"/>
      <c r="C4" s="808" t="s">
        <v>155</v>
      </c>
      <c r="D4" s="809"/>
      <c r="E4" s="810">
        <f>SUM(E5:E6)</f>
        <v>190163</v>
      </c>
      <c r="F4" s="810">
        <f t="shared" ref="F4:P4" si="0">SUM(F5:F6)</f>
        <v>41434.008257000001</v>
      </c>
      <c r="G4" s="811">
        <f t="shared" si="0"/>
        <v>10419.827491</v>
      </c>
      <c r="H4" s="810">
        <f t="shared" si="0"/>
        <v>201819</v>
      </c>
      <c r="I4" s="810">
        <f t="shared" si="0"/>
        <v>43906.179170000003</v>
      </c>
      <c r="J4" s="811">
        <f t="shared" si="0"/>
        <v>10509.421038</v>
      </c>
      <c r="K4" s="810">
        <f t="shared" si="0"/>
        <v>227983</v>
      </c>
      <c r="L4" s="810">
        <f t="shared" si="0"/>
        <v>52546.537891</v>
      </c>
      <c r="M4" s="811">
        <f t="shared" si="0"/>
        <v>12585.096118000001</v>
      </c>
      <c r="N4" s="810">
        <f t="shared" si="0"/>
        <v>279405</v>
      </c>
      <c r="O4" s="810">
        <f t="shared" si="0"/>
        <v>69093.071505</v>
      </c>
      <c r="P4" s="811">
        <f t="shared" si="0"/>
        <v>16354.472024999999</v>
      </c>
    </row>
    <row r="5" spans="2:16" ht="13.35" customHeight="1" x14ac:dyDescent="0.2">
      <c r="B5" s="807"/>
      <c r="C5" s="812" t="s">
        <v>110</v>
      </c>
      <c r="D5" s="813"/>
      <c r="E5" s="814">
        <f>A2.3.1!E5</f>
        <v>73808</v>
      </c>
      <c r="F5" s="814">
        <f>A2.3.1!F5</f>
        <v>13211.516464</v>
      </c>
      <c r="G5" s="815">
        <f>A2.3.1!G5</f>
        <v>3786.2486410000001</v>
      </c>
      <c r="H5" s="814">
        <f>A2.3.1!H5</f>
        <v>78332</v>
      </c>
      <c r="I5" s="814">
        <f>A2.3.1!I5</f>
        <v>13999.785040999999</v>
      </c>
      <c r="J5" s="815">
        <f>A2.3.1!J5</f>
        <v>3818.8042129999999</v>
      </c>
      <c r="K5" s="814">
        <f>A2.3.1!K5</f>
        <v>83900</v>
      </c>
      <c r="L5" s="814">
        <f>A2.3.1!L5</f>
        <v>16235.161161</v>
      </c>
      <c r="M5" s="815">
        <f>A2.3.1!M5</f>
        <v>4381.3258169999999</v>
      </c>
      <c r="N5" s="814">
        <f>A2.3.1!N5</f>
        <v>93168</v>
      </c>
      <c r="O5" s="814">
        <f>A2.3.1!O5</f>
        <v>20108.143117</v>
      </c>
      <c r="P5" s="815">
        <f>A2.3.1!P5</f>
        <v>5227.3691719999997</v>
      </c>
    </row>
    <row r="6" spans="2:16" ht="13.35" customHeight="1" x14ac:dyDescent="0.2">
      <c r="B6" s="816"/>
      <c r="C6" s="817" t="s">
        <v>117</v>
      </c>
      <c r="D6" s="818"/>
      <c r="E6" s="814">
        <f>A2.3.1!E21</f>
        <v>116355</v>
      </c>
      <c r="F6" s="814">
        <f>A2.3.1!F21</f>
        <v>28222.491793000001</v>
      </c>
      <c r="G6" s="815">
        <f>A2.3.1!G21</f>
        <v>6633.5788499999999</v>
      </c>
      <c r="H6" s="814">
        <f>A2.3.1!H21</f>
        <v>123487</v>
      </c>
      <c r="I6" s="814">
        <f>A2.3.1!I21</f>
        <v>29906.394129</v>
      </c>
      <c r="J6" s="815">
        <f>A2.3.1!J21</f>
        <v>6690.6168250000001</v>
      </c>
      <c r="K6" s="814">
        <f>A2.3.1!K21</f>
        <v>144083</v>
      </c>
      <c r="L6" s="814">
        <f>A2.3.1!L21</f>
        <v>36311.376730000004</v>
      </c>
      <c r="M6" s="815">
        <f>A2.3.1!M21</f>
        <v>8203.7703010000005</v>
      </c>
      <c r="N6" s="814">
        <f>A2.3.1!N21</f>
        <v>186237</v>
      </c>
      <c r="O6" s="814">
        <f>A2.3.1!O21</f>
        <v>48984.928388</v>
      </c>
      <c r="P6" s="815">
        <f>A2.3.1!P21</f>
        <v>11127.102853</v>
      </c>
    </row>
    <row r="7" spans="2:16" ht="13.35" customHeight="1" x14ac:dyDescent="0.2">
      <c r="B7" s="807"/>
      <c r="C7" s="808" t="s">
        <v>156</v>
      </c>
      <c r="D7" s="809"/>
      <c r="E7" s="810">
        <f>SUM(E8:E10)</f>
        <v>372071</v>
      </c>
      <c r="F7" s="810">
        <f t="shared" ref="F7:P7" si="1">SUM(F8:F10)</f>
        <v>79091.922611999995</v>
      </c>
      <c r="G7" s="811">
        <f t="shared" si="1"/>
        <v>17631.817496</v>
      </c>
      <c r="H7" s="810">
        <f t="shared" si="1"/>
        <v>394875</v>
      </c>
      <c r="I7" s="810">
        <f t="shared" si="1"/>
        <v>83810.962809000004</v>
      </c>
      <c r="J7" s="811">
        <f t="shared" si="1"/>
        <v>17783.422411</v>
      </c>
      <c r="K7" s="810">
        <f t="shared" si="1"/>
        <v>444941</v>
      </c>
      <c r="L7" s="810">
        <f t="shared" si="1"/>
        <v>95312.606545999981</v>
      </c>
      <c r="M7" s="811">
        <f t="shared" si="1"/>
        <v>19914.458857999998</v>
      </c>
      <c r="N7" s="810">
        <f t="shared" si="1"/>
        <v>512865</v>
      </c>
      <c r="O7" s="810">
        <f t="shared" si="1"/>
        <v>115931.557077</v>
      </c>
      <c r="P7" s="811">
        <f t="shared" si="1"/>
        <v>24426.436214999998</v>
      </c>
    </row>
    <row r="8" spans="2:16" ht="13.35" customHeight="1" x14ac:dyDescent="0.2">
      <c r="B8" s="816"/>
      <c r="C8" s="817" t="s">
        <v>495</v>
      </c>
      <c r="D8" s="818"/>
      <c r="E8" s="814">
        <f>A2.3.1!E6+A2.3.1!E8+A2.3.1!E9+A2.3.1!E10+A2.3.1!E15+A2.3.1!E16+A2.3.1!E18+A2.3.1!E20+A2.3.1!E22+A2.3.1!E23+A2.3.1!E29+A2.3.1!E32+A2.3.1!E33+A2.3.1!E37</f>
        <v>225743</v>
      </c>
      <c r="F8" s="814">
        <f>A2.3.1!F6+A2.3.1!F8+A2.3.1!F9+A2.3.1!F10+A2.3.1!F15+A2.3.1!F16+A2.3.1!F18+A2.3.1!F20+A2.3.1!F22+A2.3.1!F23+A2.3.1!F29+A2.3.1!F32+A2.3.1!F33+A2.3.1!F37</f>
        <v>46755.663612000004</v>
      </c>
      <c r="G8" s="815">
        <f>A2.3.1!G6+A2.3.1!G8+A2.3.1!G9+A2.3.1!G10+A2.3.1!G15+A2.3.1!G16+A2.3.1!G18+A2.3.1!G20+A2.3.1!G22+A2.3.1!G23+A2.3.1!G29+A2.3.1!G32+A2.3.1!G33+A2.3.1!G37</f>
        <v>10318.466201000001</v>
      </c>
      <c r="H8" s="814">
        <f>A2.3.1!H6+A2.3.1!H8+A2.3.1!H9+A2.3.1!H10+A2.3.1!H15+A2.3.1!H16+A2.3.1!H18+A2.3.1!H20+A2.3.1!H22+A2.3.1!H23+A2.3.1!H29+A2.3.1!H32+A2.3.1!H33+A2.3.1!H37</f>
        <v>239578</v>
      </c>
      <c r="I8" s="814">
        <f>A2.3.1!I6+A2.3.1!I8+A2.3.1!I9+A2.3.1!I10+A2.3.1!I15+A2.3.1!I16+A2.3.1!I18+A2.3.1!I20+A2.3.1!I22+A2.3.1!I23+A2.3.1!I29+A2.3.1!I32+A2.3.1!I33+A2.3.1!I37</f>
        <v>49545.352480000001</v>
      </c>
      <c r="J8" s="815">
        <f>A2.3.1!J6+A2.3.1!J8+A2.3.1!J9+A2.3.1!J10+A2.3.1!J15+A2.3.1!J16+A2.3.1!J18+A2.3.1!J20+A2.3.1!J22+A2.3.1!J23+A2.3.1!J29+A2.3.1!J32+A2.3.1!J33+A2.3.1!J37</f>
        <v>10407.188205</v>
      </c>
      <c r="K8" s="814">
        <f>A2.3.1!K6+A2.3.1!K8+A2.3.1!K9+A2.3.1!K10+A2.3.1!K15+A2.3.1!K16+A2.3.1!K18+A2.3.1!K20+A2.3.1!K22+A2.3.1!K23+A2.3.1!K29+A2.3.1!K32+A2.3.1!K33+A2.3.1!K37</f>
        <v>273492</v>
      </c>
      <c r="L8" s="814">
        <f>A2.3.1!L6+A2.3.1!L8+A2.3.1!L9+A2.3.1!L10+A2.3.1!L15+A2.3.1!L16+A2.3.1!L18+A2.3.1!L20+A2.3.1!L22+A2.3.1!L23+A2.3.1!L29+A2.3.1!L32+A2.3.1!L33+A2.3.1!L37</f>
        <v>57395.608828999983</v>
      </c>
      <c r="M8" s="815">
        <f>A2.3.1!M6+A2.3.1!M8+A2.3.1!M9+A2.3.1!M10+A2.3.1!M15+A2.3.1!M16+A2.3.1!M18+A2.3.1!M20+A2.3.1!M22+A2.3.1!M23+A2.3.1!M29+A2.3.1!M32+A2.3.1!M33+A2.3.1!M37</f>
        <v>11862.723217999999</v>
      </c>
      <c r="N8" s="814">
        <f>A2.3.1!N6+A2.3.1!N8+A2.3.1!N9+A2.3.1!N10+A2.3.1!N15+A2.3.1!N16+A2.3.1!N18+A2.3.1!N20+A2.3.1!N22+A2.3.1!N23+A2.3.1!N29+A2.3.1!N32+A2.3.1!N33+A2.3.1!N37</f>
        <v>339770</v>
      </c>
      <c r="O8" s="814">
        <f>A2.3.1!O6+A2.3.1!O8+A2.3.1!O9+A2.3.1!O10+A2.3.1!O15+A2.3.1!O16+A2.3.1!O18+A2.3.1!O20+A2.3.1!O22+A2.3.1!O23+A2.3.1!O29+A2.3.1!O32+A2.3.1!O33+A2.3.1!O37</f>
        <v>76893.533744</v>
      </c>
      <c r="P8" s="815">
        <f>A2.3.1!P6+A2.3.1!P8+A2.3.1!P9+A2.3.1!P10+A2.3.1!P15+A2.3.1!P16+A2.3.1!P18+A2.3.1!P20+A2.3.1!P22+A2.3.1!P23+A2.3.1!P29+A2.3.1!P32+A2.3.1!P33+A2.3.1!P37</f>
        <v>16228.904886</v>
      </c>
    </row>
    <row r="9" spans="2:16" ht="13.35" customHeight="1" x14ac:dyDescent="0.2">
      <c r="B9" s="816"/>
      <c r="C9" s="817" t="s">
        <v>134</v>
      </c>
      <c r="D9" s="818"/>
      <c r="E9" s="814">
        <f>A2.3.1!E13</f>
        <v>32207</v>
      </c>
      <c r="F9" s="814">
        <f>A2.3.1!F13</f>
        <v>8110.0871880000004</v>
      </c>
      <c r="G9" s="815">
        <f>A2.3.1!G13</f>
        <v>1786.970945</v>
      </c>
      <c r="H9" s="814">
        <f>A2.3.1!H13</f>
        <v>34181</v>
      </c>
      <c r="I9" s="814">
        <f>A2.3.1!I13</f>
        <v>8593.9776559999991</v>
      </c>
      <c r="J9" s="815">
        <f>A2.3.1!J13</f>
        <v>1802.3359849999999</v>
      </c>
      <c r="K9" s="814">
        <f>A2.3.1!K13</f>
        <v>35359</v>
      </c>
      <c r="L9" s="814">
        <f>A2.3.1!L13</f>
        <v>9802.7863440000001</v>
      </c>
      <c r="M9" s="815">
        <f>A2.3.1!M13</f>
        <v>2112.9717700000001</v>
      </c>
      <c r="N9" s="814">
        <f>A2.3.1!N13</f>
        <v>26553</v>
      </c>
      <c r="O9" s="814">
        <f>A2.3.1!O13</f>
        <v>7573.483303</v>
      </c>
      <c r="P9" s="815">
        <f>A2.3.1!P13</f>
        <v>1651.2267939999999</v>
      </c>
    </row>
    <row r="10" spans="2:16" ht="13.35" customHeight="1" x14ac:dyDescent="0.2">
      <c r="B10" s="816"/>
      <c r="C10" s="817" t="s">
        <v>5</v>
      </c>
      <c r="D10" s="813"/>
      <c r="E10" s="814">
        <f>A2.3.1!E11</f>
        <v>114121</v>
      </c>
      <c r="F10" s="814">
        <f>A2.3.1!F11</f>
        <v>24226.171812000001</v>
      </c>
      <c r="G10" s="815">
        <f>A2.3.1!G11</f>
        <v>5526.3803500000004</v>
      </c>
      <c r="H10" s="814">
        <f>A2.3.1!H11</f>
        <v>121116</v>
      </c>
      <c r="I10" s="814">
        <f>A2.3.1!I11</f>
        <v>25671.632673</v>
      </c>
      <c r="J10" s="815">
        <f>A2.3.1!J11</f>
        <v>5573.8982210000004</v>
      </c>
      <c r="K10" s="814">
        <f>A2.3.1!K11</f>
        <v>136090</v>
      </c>
      <c r="L10" s="814">
        <f>A2.3.1!L11</f>
        <v>28114.211372999998</v>
      </c>
      <c r="M10" s="815">
        <f>A2.3.1!M11</f>
        <v>5938.7638699999998</v>
      </c>
      <c r="N10" s="814">
        <f>A2.3.1!N11</f>
        <v>146542</v>
      </c>
      <c r="O10" s="814">
        <f>A2.3.1!O11</f>
        <v>31464.54003</v>
      </c>
      <c r="P10" s="815">
        <f>A2.3.1!P11</f>
        <v>6546.3045350000002</v>
      </c>
    </row>
    <row r="11" spans="2:16" ht="13.35" customHeight="1" x14ac:dyDescent="0.2">
      <c r="B11" s="807"/>
      <c r="C11" s="808" t="s">
        <v>157</v>
      </c>
      <c r="D11" s="809"/>
      <c r="E11" s="810">
        <f>SUM(E12:E15)</f>
        <v>3843715</v>
      </c>
      <c r="F11" s="810">
        <f t="shared" ref="F11:P11" si="2">SUM(F12:F15)</f>
        <v>675004.95104199997</v>
      </c>
      <c r="G11" s="811">
        <f t="shared" si="2"/>
        <v>139902.65325599999</v>
      </c>
      <c r="H11" s="810">
        <f t="shared" si="2"/>
        <v>4079305</v>
      </c>
      <c r="I11" s="810">
        <f t="shared" si="2"/>
        <v>715279.29754699999</v>
      </c>
      <c r="J11" s="811">
        <f t="shared" si="2"/>
        <v>141105.58822600002</v>
      </c>
      <c r="K11" s="810">
        <f t="shared" si="2"/>
        <v>4139200</v>
      </c>
      <c r="L11" s="810">
        <f t="shared" si="2"/>
        <v>776663.48349399993</v>
      </c>
      <c r="M11" s="811">
        <f t="shared" si="2"/>
        <v>153629.19795200002</v>
      </c>
      <c r="N11" s="810">
        <f t="shared" si="2"/>
        <v>4114392</v>
      </c>
      <c r="O11" s="810">
        <f t="shared" si="2"/>
        <v>825199.88101600017</v>
      </c>
      <c r="P11" s="811">
        <f t="shared" si="2"/>
        <v>161937.13790899998</v>
      </c>
    </row>
    <row r="12" spans="2:16" ht="13.35" customHeight="1" x14ac:dyDescent="0.2">
      <c r="B12" s="816"/>
      <c r="C12" s="817" t="s">
        <v>496</v>
      </c>
      <c r="D12" s="818"/>
      <c r="E12" s="814">
        <f>A2.3.1!E7+A2.3.1!E28+A2.3.1!E31+A2.3.1!E35+A2.3.1!E36</f>
        <v>893995</v>
      </c>
      <c r="F12" s="814">
        <f>A2.3.1!F7+A2.3.1!F28+A2.3.1!F31+A2.3.1!F35+A2.3.1!F36</f>
        <v>115084.70440399999</v>
      </c>
      <c r="G12" s="815">
        <f>A2.3.1!G7+A2.3.1!G28+A2.3.1!G31+A2.3.1!G35+A2.3.1!G36</f>
        <v>23250.589582000001</v>
      </c>
      <c r="H12" s="814">
        <f>A2.3.1!H7+A2.3.1!H28+A2.3.1!H31+A2.3.1!H35+A2.3.1!H36</f>
        <v>948790</v>
      </c>
      <c r="I12" s="814">
        <f>A2.3.1!I7+A2.3.1!I28+A2.3.1!I31+A2.3.1!I35+A2.3.1!I36</f>
        <v>121951.26331600001</v>
      </c>
      <c r="J12" s="815">
        <f>A2.3.1!J7+A2.3.1!J28+A2.3.1!J31+A2.3.1!J35+A2.3.1!J36</f>
        <v>23450.506787000002</v>
      </c>
      <c r="K12" s="814">
        <f>A2.3.1!K7+A2.3.1!K28+A2.3.1!K31+A2.3.1!K35+A2.3.1!K36</f>
        <v>736490</v>
      </c>
      <c r="L12" s="814">
        <f>A2.3.1!L7+A2.3.1!L28+A2.3.1!L31+A2.3.1!L35+A2.3.1!L36</f>
        <v>100239.837766</v>
      </c>
      <c r="M12" s="815">
        <f>A2.3.1!M7+A2.3.1!M28+A2.3.1!M31+A2.3.1!M35+A2.3.1!M36</f>
        <v>19614.332112</v>
      </c>
      <c r="N12" s="814">
        <f>A2.3.1!N7+A2.3.1!N28+A2.3.1!N31+A2.3.1!N35+A2.3.1!N36</f>
        <v>534923</v>
      </c>
      <c r="O12" s="814">
        <f>A2.3.1!O7+A2.3.1!O28+A2.3.1!O31+A2.3.1!O35+A2.3.1!O36</f>
        <v>85096.289801000006</v>
      </c>
      <c r="P12" s="815">
        <f>A2.3.1!P7+A2.3.1!P28+A2.3.1!P31+A2.3.1!P35+A2.3.1!P36</f>
        <v>17400.857232000002</v>
      </c>
    </row>
    <row r="13" spans="2:16" ht="13.35" customHeight="1" x14ac:dyDescent="0.2">
      <c r="B13" s="816"/>
      <c r="C13" s="817" t="s">
        <v>497</v>
      </c>
      <c r="D13" s="818"/>
      <c r="E13" s="814">
        <f>A2.3.1!E34</f>
        <v>116158</v>
      </c>
      <c r="F13" s="814">
        <f>A2.3.1!F34</f>
        <v>22116.906343999999</v>
      </c>
      <c r="G13" s="815">
        <f>A2.3.1!G34</f>
        <v>4848.2772169999998</v>
      </c>
      <c r="H13" s="814">
        <f>A2.3.1!H34</f>
        <v>123278</v>
      </c>
      <c r="I13" s="814">
        <f>A2.3.1!I34</f>
        <v>23436.517330999999</v>
      </c>
      <c r="J13" s="815">
        <f>A2.3.1!J34</f>
        <v>4889.9645049999999</v>
      </c>
      <c r="K13" s="814">
        <f>A2.3.1!K34</f>
        <v>152007</v>
      </c>
      <c r="L13" s="814">
        <f>A2.3.1!L34</f>
        <v>30926.426771999999</v>
      </c>
      <c r="M13" s="815">
        <f>A2.3.1!M34</f>
        <v>6253.0307030000004</v>
      </c>
      <c r="N13" s="814">
        <f>A2.3.1!N34</f>
        <v>166240</v>
      </c>
      <c r="O13" s="814">
        <f>A2.3.1!O34</f>
        <v>37374.4035</v>
      </c>
      <c r="P13" s="815">
        <f>A2.3.1!P34</f>
        <v>7579.3449849999997</v>
      </c>
    </row>
    <row r="14" spans="2:16" ht="24.95" customHeight="1" x14ac:dyDescent="0.2">
      <c r="B14" s="816"/>
      <c r="C14" s="1040" t="s">
        <v>498</v>
      </c>
      <c r="D14" s="1041"/>
      <c r="E14" s="814">
        <f>A2.3.1!E4+A2.3.1!E14+A2.3.1!E17+A2.3.1!E27</f>
        <v>1940416</v>
      </c>
      <c r="F14" s="814">
        <f>A2.3.1!F4+A2.3.1!F14+A2.3.1!F17+A2.3.1!F27</f>
        <v>391162.44722799998</v>
      </c>
      <c r="G14" s="815">
        <f>A2.3.1!G4+A2.3.1!G14+A2.3.1!G17+A2.3.1!G27</f>
        <v>86875.555073999989</v>
      </c>
      <c r="H14" s="814">
        <f>A2.3.1!H4+A2.3.1!H14+A2.3.1!H17+A2.3.1!H27</f>
        <v>2059348</v>
      </c>
      <c r="I14" s="814">
        <f>A2.3.1!I4+A2.3.1!I14+A2.3.1!I17+A2.3.1!I27</f>
        <v>414501.25669300003</v>
      </c>
      <c r="J14" s="815">
        <f>A2.3.1!J4+A2.3.1!J14+A2.3.1!J17+A2.3.1!J27</f>
        <v>87622.543361000018</v>
      </c>
      <c r="K14" s="814">
        <f>A2.3.1!K4+A2.3.1!K14+A2.3.1!K17+A2.3.1!K27</f>
        <v>2182603</v>
      </c>
      <c r="L14" s="814">
        <f>A2.3.1!L4+A2.3.1!L14+A2.3.1!L17+A2.3.1!L27</f>
        <v>459981.55552399997</v>
      </c>
      <c r="M14" s="815">
        <f>A2.3.1!M4+A2.3.1!M14+A2.3.1!M17+A2.3.1!M27</f>
        <v>97554.578062000015</v>
      </c>
      <c r="N14" s="814">
        <f>A2.3.1!N4+A2.3.1!N14+A2.3.1!N17+A2.3.1!N27</f>
        <v>2224537</v>
      </c>
      <c r="O14" s="814">
        <f>A2.3.1!O4+A2.3.1!O14+A2.3.1!O17+A2.3.1!O27</f>
        <v>481487.32889500004</v>
      </c>
      <c r="P14" s="815">
        <f>A2.3.1!P4+A2.3.1!P14+A2.3.1!P17+A2.3.1!P27</f>
        <v>100506.85006499999</v>
      </c>
    </row>
    <row r="15" spans="2:16" ht="13.15" customHeight="1" x14ac:dyDescent="0.2">
      <c r="B15" s="819"/>
      <c r="C15" s="817" t="s">
        <v>499</v>
      </c>
      <c r="D15" s="820"/>
      <c r="E15" s="814">
        <f>A2.3.1!E12+A2.3.1!E19+A2.3.1!E24+A2.3.1!E25+A2.3.1!E26+A2.3.1!E30</f>
        <v>893146</v>
      </c>
      <c r="F15" s="814">
        <f>A2.3.1!F12+A2.3.1!F19+A2.3.1!F24+A2.3.1!F25+A2.3.1!F26+A2.3.1!F30</f>
        <v>146640.89306600002</v>
      </c>
      <c r="G15" s="815">
        <f>A2.3.1!G12+A2.3.1!G19+A2.3.1!G24+A2.3.1!G25+A2.3.1!G26+A2.3.1!G30</f>
        <v>24928.231382999998</v>
      </c>
      <c r="H15" s="814">
        <f>A2.3.1!H12+A2.3.1!H19+A2.3.1!H24+A2.3.1!H25+A2.3.1!H26+A2.3.1!H30</f>
        <v>947889</v>
      </c>
      <c r="I15" s="814">
        <f>A2.3.1!I12+A2.3.1!I19+A2.3.1!I24+A2.3.1!I25+A2.3.1!I26+A2.3.1!I30</f>
        <v>155390.26020699998</v>
      </c>
      <c r="J15" s="815">
        <f>A2.3.1!J12+A2.3.1!J19+A2.3.1!J24+A2.3.1!J25+A2.3.1!J26+A2.3.1!J30</f>
        <v>25142.573572999998</v>
      </c>
      <c r="K15" s="814">
        <f>A2.3.1!K12+A2.3.1!K19+A2.3.1!K24+A2.3.1!K25+A2.3.1!K26+A2.3.1!K30</f>
        <v>1068100</v>
      </c>
      <c r="L15" s="814">
        <f>A2.3.1!L12+A2.3.1!L19+A2.3.1!L24+A2.3.1!L25+A2.3.1!L26+A2.3.1!L30</f>
        <v>185515.663432</v>
      </c>
      <c r="M15" s="815">
        <f>A2.3.1!M12+A2.3.1!M19+A2.3.1!M24+A2.3.1!M25+A2.3.1!M26+A2.3.1!M30</f>
        <v>30207.257075000001</v>
      </c>
      <c r="N15" s="814">
        <f>A2.3.1!N12+A2.3.1!N19+A2.3.1!N24+A2.3.1!N25+A2.3.1!N26+A2.3.1!N30</f>
        <v>1188692</v>
      </c>
      <c r="O15" s="814">
        <f>A2.3.1!O12+A2.3.1!O19+A2.3.1!O24+A2.3.1!O25+A2.3.1!O26+A2.3.1!O30</f>
        <v>221241.85882000002</v>
      </c>
      <c r="P15" s="815">
        <f>A2.3.1!P12+A2.3.1!P19+A2.3.1!P24+A2.3.1!P25+A2.3.1!P26+A2.3.1!P30</f>
        <v>36450.085627000008</v>
      </c>
    </row>
    <row r="16" spans="2:16" ht="13.15" customHeight="1" x14ac:dyDescent="0.2">
      <c r="B16" s="821"/>
      <c r="C16" s="822" t="s">
        <v>500</v>
      </c>
      <c r="D16" s="823"/>
      <c r="E16" s="602">
        <f>A2.3.1!E38</f>
        <v>306760</v>
      </c>
      <c r="F16" s="602">
        <f>A2.3.1!F38</f>
        <v>22978.986575999999</v>
      </c>
      <c r="G16" s="603">
        <f>A2.3.1!G38</f>
        <v>4686.7140140000365</v>
      </c>
      <c r="H16" s="602">
        <f>A2.3.1!H38</f>
        <v>325559</v>
      </c>
      <c r="I16" s="602">
        <f>A2.3.1!I38</f>
        <v>24350.033804999999</v>
      </c>
      <c r="J16" s="603">
        <f>A2.3.1!J38</f>
        <v>4727.0121210000161</v>
      </c>
      <c r="K16" s="602">
        <f>A2.3.1!K38</f>
        <v>387236</v>
      </c>
      <c r="L16" s="602">
        <f>A2.3.1!L38</f>
        <v>38259.959549000007</v>
      </c>
      <c r="M16" s="603">
        <f>A2.3.1!M38</f>
        <v>7374.074092999932</v>
      </c>
      <c r="N16" s="602">
        <f>A2.3.1!N38</f>
        <v>201545</v>
      </c>
      <c r="O16" s="602">
        <f>A2.3.1!O38</f>
        <v>13711.228178999998</v>
      </c>
      <c r="P16" s="603">
        <f>A2.3.1!P38</f>
        <v>3950.303466000038</v>
      </c>
    </row>
    <row r="17" spans="2:16" s="824" customFormat="1" ht="13.35" customHeight="1" x14ac:dyDescent="0.2">
      <c r="B17" s="597"/>
      <c r="C17" s="601" t="s">
        <v>8</v>
      </c>
      <c r="D17" s="606"/>
      <c r="E17" s="602">
        <f>E4+E7+E11+E16</f>
        <v>4712709</v>
      </c>
      <c r="F17" s="858">
        <f t="shared" ref="F17:P17" si="3">F4+F7+F11+F16</f>
        <v>818509.868487</v>
      </c>
      <c r="G17" s="603">
        <f t="shared" si="3"/>
        <v>172641.01225700002</v>
      </c>
      <c r="H17" s="602">
        <f t="shared" si="3"/>
        <v>5001558</v>
      </c>
      <c r="I17" s="602">
        <f t="shared" si="3"/>
        <v>867346.47333100007</v>
      </c>
      <c r="J17" s="603">
        <f t="shared" si="3"/>
        <v>174125.44379600004</v>
      </c>
      <c r="K17" s="602">
        <f t="shared" si="3"/>
        <v>5199360</v>
      </c>
      <c r="L17" s="602">
        <f t="shared" si="3"/>
        <v>962782.58747999999</v>
      </c>
      <c r="M17" s="603">
        <f t="shared" si="3"/>
        <v>193502.82702099995</v>
      </c>
      <c r="N17" s="602">
        <f t="shared" si="3"/>
        <v>5108207</v>
      </c>
      <c r="O17" s="602">
        <f t="shared" si="3"/>
        <v>1023935.7377770002</v>
      </c>
      <c r="P17" s="603">
        <f t="shared" si="3"/>
        <v>206668.34961500001</v>
      </c>
    </row>
    <row r="18" spans="2:16" s="824" customFormat="1" ht="13.35" customHeight="1" x14ac:dyDescent="0.2">
      <c r="B18" s="108"/>
      <c r="C18" s="110" t="s">
        <v>87</v>
      </c>
      <c r="D18" s="309"/>
      <c r="E18" s="810"/>
      <c r="F18" s="859"/>
      <c r="G18" s="811"/>
      <c r="H18" s="810"/>
      <c r="I18" s="810"/>
      <c r="J18" s="811"/>
      <c r="K18" s="810"/>
      <c r="L18" s="810"/>
      <c r="M18" s="811"/>
      <c r="N18" s="810"/>
      <c r="O18" s="810"/>
      <c r="P18" s="811"/>
    </row>
    <row r="19" spans="2:16" s="824" customFormat="1" ht="13.35" customHeight="1" x14ac:dyDescent="0.2">
      <c r="B19" s="807"/>
      <c r="C19" s="808" t="s">
        <v>515</v>
      </c>
      <c r="D19" s="809"/>
      <c r="E19" s="860">
        <f>E4/E$17</f>
        <v>4.0351101669973681E-2</v>
      </c>
      <c r="F19" s="860">
        <f t="shared" ref="F19:P19" si="4">F4/F$17</f>
        <v>5.0621269030744834E-2</v>
      </c>
      <c r="G19" s="861">
        <f t="shared" si="4"/>
        <v>6.0355458733575111E-2</v>
      </c>
      <c r="H19" s="860">
        <f t="shared" si="4"/>
        <v>4.0351226557804591E-2</v>
      </c>
      <c r="I19" s="860">
        <f t="shared" si="4"/>
        <v>5.0621269031486983E-2</v>
      </c>
      <c r="J19" s="861">
        <f t="shared" si="4"/>
        <v>6.0355458736475708E-2</v>
      </c>
      <c r="K19" s="860">
        <f t="shared" si="4"/>
        <v>4.3848281326932546E-2</v>
      </c>
      <c r="L19" s="860">
        <f t="shared" si="4"/>
        <v>5.4577781707224278E-2</v>
      </c>
      <c r="M19" s="861">
        <f t="shared" si="4"/>
        <v>6.5038306218824393E-2</v>
      </c>
      <c r="N19" s="860">
        <f t="shared" si="4"/>
        <v>5.4697274405676982E-2</v>
      </c>
      <c r="O19" s="860">
        <f t="shared" si="4"/>
        <v>6.7477937292240081E-2</v>
      </c>
      <c r="P19" s="861">
        <f t="shared" si="4"/>
        <v>7.9133897645510543E-2</v>
      </c>
    </row>
    <row r="20" spans="2:16" s="824" customFormat="1" ht="13.35" customHeight="1" x14ac:dyDescent="0.2">
      <c r="B20" s="807"/>
      <c r="C20" s="812" t="s">
        <v>110</v>
      </c>
      <c r="D20" s="813"/>
      <c r="E20" s="862">
        <f t="shared" ref="E20:P20" si="5">E5/E$17</f>
        <v>1.5661480477576699E-2</v>
      </c>
      <c r="F20" s="862">
        <f t="shared" si="5"/>
        <v>1.6140937296725864E-2</v>
      </c>
      <c r="G20" s="863">
        <f t="shared" si="5"/>
        <v>2.1931339439574447E-2</v>
      </c>
      <c r="H20" s="862">
        <f t="shared" si="5"/>
        <v>1.566151987040838E-2</v>
      </c>
      <c r="I20" s="862">
        <f t="shared" si="5"/>
        <v>1.614093729721934E-2</v>
      </c>
      <c r="J20" s="863">
        <f t="shared" si="5"/>
        <v>2.1931339439823581E-2</v>
      </c>
      <c r="K20" s="862">
        <f t="shared" si="5"/>
        <v>1.6136601427868047E-2</v>
      </c>
      <c r="L20" s="862">
        <f t="shared" si="5"/>
        <v>1.6862749048561554E-2</v>
      </c>
      <c r="M20" s="863">
        <f t="shared" si="5"/>
        <v>2.2642179881560674E-2</v>
      </c>
      <c r="N20" s="862">
        <f t="shared" si="5"/>
        <v>1.8238884994284686E-2</v>
      </c>
      <c r="O20" s="862">
        <f t="shared" si="5"/>
        <v>1.9638090922244274E-2</v>
      </c>
      <c r="P20" s="863">
        <f t="shared" si="5"/>
        <v>2.5293515827353355E-2</v>
      </c>
    </row>
    <row r="21" spans="2:16" s="824" customFormat="1" ht="13.35" customHeight="1" x14ac:dyDescent="0.2">
      <c r="B21" s="816"/>
      <c r="C21" s="817" t="s">
        <v>117</v>
      </c>
      <c r="D21" s="818"/>
      <c r="E21" s="862">
        <f t="shared" ref="E21:P21" si="6">E6/E$17</f>
        <v>2.4689621192396986E-2</v>
      </c>
      <c r="F21" s="862">
        <f t="shared" si="6"/>
        <v>3.4480331734018974E-2</v>
      </c>
      <c r="G21" s="863">
        <f t="shared" si="6"/>
        <v>3.8424119294000664E-2</v>
      </c>
      <c r="H21" s="862">
        <f t="shared" si="6"/>
        <v>2.4689706687396208E-2</v>
      </c>
      <c r="I21" s="862">
        <f t="shared" si="6"/>
        <v>3.4480331734267636E-2</v>
      </c>
      <c r="J21" s="863">
        <f t="shared" si="6"/>
        <v>3.8424119296652126E-2</v>
      </c>
      <c r="K21" s="862">
        <f t="shared" si="6"/>
        <v>2.7711679899064499E-2</v>
      </c>
      <c r="L21" s="862">
        <f t="shared" si="6"/>
        <v>3.7715032658662724E-2</v>
      </c>
      <c r="M21" s="863">
        <f t="shared" si="6"/>
        <v>4.2396126337263716E-2</v>
      </c>
      <c r="N21" s="862">
        <f t="shared" si="6"/>
        <v>3.6458389411392296E-2</v>
      </c>
      <c r="O21" s="862">
        <f t="shared" si="6"/>
        <v>4.783984636999581E-2</v>
      </c>
      <c r="P21" s="863">
        <f t="shared" si="6"/>
        <v>5.3840381818157187E-2</v>
      </c>
    </row>
    <row r="22" spans="2:16" s="824" customFormat="1" ht="13.35" customHeight="1" x14ac:dyDescent="0.2">
      <c r="B22" s="807"/>
      <c r="C22" s="808" t="s">
        <v>516</v>
      </c>
      <c r="D22" s="809"/>
      <c r="E22" s="860">
        <f t="shared" ref="E22:P22" si="7">E7/E$17</f>
        <v>7.8950556887768794E-2</v>
      </c>
      <c r="F22" s="860">
        <f t="shared" si="7"/>
        <v>9.66291619161537E-2</v>
      </c>
      <c r="G22" s="861">
        <f t="shared" si="7"/>
        <v>0.10212994737167436</v>
      </c>
      <c r="H22" s="860">
        <f t="shared" si="7"/>
        <v>7.8950399055654263E-2</v>
      </c>
      <c r="I22" s="860">
        <f t="shared" si="7"/>
        <v>9.6629161916261974E-2</v>
      </c>
      <c r="J22" s="861">
        <f t="shared" si="7"/>
        <v>0.10212994737193322</v>
      </c>
      <c r="K22" s="860">
        <f t="shared" si="7"/>
        <v>8.5576109367306752E-2</v>
      </c>
      <c r="L22" s="860">
        <f t="shared" si="7"/>
        <v>9.8997019457396362E-2</v>
      </c>
      <c r="M22" s="861">
        <f t="shared" si="7"/>
        <v>0.10291559645192562</v>
      </c>
      <c r="N22" s="860">
        <f t="shared" si="7"/>
        <v>0.10040019913053641</v>
      </c>
      <c r="O22" s="860">
        <f t="shared" si="7"/>
        <v>0.11322151654623504</v>
      </c>
      <c r="P22" s="861">
        <f t="shared" si="7"/>
        <v>0.11819147082997331</v>
      </c>
    </row>
    <row r="23" spans="2:16" s="824" customFormat="1" ht="13.35" customHeight="1" x14ac:dyDescent="0.2">
      <c r="B23" s="816"/>
      <c r="C23" s="817" t="s">
        <v>152</v>
      </c>
      <c r="D23" s="818"/>
      <c r="E23" s="862">
        <f t="shared" ref="E23:P23" si="8">E8/E$17</f>
        <v>4.7900899461435026E-2</v>
      </c>
      <c r="F23" s="862">
        <f t="shared" si="8"/>
        <v>5.7122907630212161E-2</v>
      </c>
      <c r="G23" s="863">
        <f t="shared" si="8"/>
        <v>5.976833700233139E-2</v>
      </c>
      <c r="H23" s="862">
        <f t="shared" si="8"/>
        <v>4.7900674149934881E-2</v>
      </c>
      <c r="I23" s="862">
        <f t="shared" si="8"/>
        <v>5.7122907630815158E-2</v>
      </c>
      <c r="J23" s="863">
        <f t="shared" si="8"/>
        <v>5.9768336999575657E-2</v>
      </c>
      <c r="K23" s="862">
        <f t="shared" si="8"/>
        <v>5.2601089364844901E-2</v>
      </c>
      <c r="L23" s="862">
        <f t="shared" si="8"/>
        <v>5.961429877873884E-2</v>
      </c>
      <c r="M23" s="863">
        <f t="shared" si="8"/>
        <v>6.1305167478057539E-2</v>
      </c>
      <c r="N23" s="862">
        <f t="shared" si="8"/>
        <v>6.6514532398550014E-2</v>
      </c>
      <c r="O23" s="862">
        <f t="shared" si="8"/>
        <v>7.509605428065097E-2</v>
      </c>
      <c r="P23" s="863">
        <f t="shared" si="8"/>
        <v>7.8526319662554189E-2</v>
      </c>
    </row>
    <row r="24" spans="2:16" s="824" customFormat="1" ht="13.35" customHeight="1" x14ac:dyDescent="0.2">
      <c r="B24" s="816"/>
      <c r="C24" s="817" t="s">
        <v>134</v>
      </c>
      <c r="D24" s="818"/>
      <c r="E24" s="862">
        <f t="shared" ref="E24:P24" si="9">E9/E$17</f>
        <v>6.8340735657559165E-3</v>
      </c>
      <c r="F24" s="862">
        <f t="shared" si="9"/>
        <v>9.9083560262887768E-3</v>
      </c>
      <c r="G24" s="863">
        <f t="shared" si="9"/>
        <v>1.0350790473470154E-2</v>
      </c>
      <c r="H24" s="862">
        <f t="shared" si="9"/>
        <v>6.8340705036310685E-3</v>
      </c>
      <c r="I24" s="862">
        <f t="shared" si="9"/>
        <v>9.9083560263930788E-3</v>
      </c>
      <c r="J24" s="863">
        <f t="shared" si="9"/>
        <v>1.0350790474432679E-2</v>
      </c>
      <c r="K24" s="862">
        <f t="shared" si="9"/>
        <v>6.8006446947316591E-3</v>
      </c>
      <c r="L24" s="862">
        <f t="shared" si="9"/>
        <v>1.0181723757237804E-2</v>
      </c>
      <c r="M24" s="863">
        <f t="shared" si="9"/>
        <v>1.0919591214916407E-2</v>
      </c>
      <c r="N24" s="862">
        <f t="shared" si="9"/>
        <v>5.1981057149798355E-3</v>
      </c>
      <c r="O24" s="862">
        <f t="shared" si="9"/>
        <v>7.396443959893707E-3</v>
      </c>
      <c r="P24" s="863">
        <f t="shared" si="9"/>
        <v>7.9897420048887537E-3</v>
      </c>
    </row>
    <row r="25" spans="2:16" s="824" customFormat="1" ht="13.35" customHeight="1" x14ac:dyDescent="0.2">
      <c r="B25" s="816"/>
      <c r="C25" s="817" t="s">
        <v>5</v>
      </c>
      <c r="D25" s="813"/>
      <c r="E25" s="862">
        <f t="shared" ref="E25:P25" si="10">E10/E$17</f>
        <v>2.4215583860577854E-2</v>
      </c>
      <c r="F25" s="862">
        <f t="shared" si="10"/>
        <v>2.9597898259652776E-2</v>
      </c>
      <c r="G25" s="863">
        <f t="shared" si="10"/>
        <v>3.2010819895872823E-2</v>
      </c>
      <c r="H25" s="862">
        <f t="shared" si="10"/>
        <v>2.421565440208831E-2</v>
      </c>
      <c r="I25" s="862">
        <f t="shared" si="10"/>
        <v>2.9597898259053731E-2</v>
      </c>
      <c r="J25" s="863">
        <f t="shared" si="10"/>
        <v>3.201081989792489E-2</v>
      </c>
      <c r="K25" s="862">
        <f t="shared" si="10"/>
        <v>2.6174375307730181E-2</v>
      </c>
      <c r="L25" s="862">
        <f t="shared" si="10"/>
        <v>2.9200996921419725E-2</v>
      </c>
      <c r="M25" s="863">
        <f t="shared" si="10"/>
        <v>3.0690837758951674E-2</v>
      </c>
      <c r="N25" s="862">
        <f t="shared" si="10"/>
        <v>2.8687561017006553E-2</v>
      </c>
      <c r="O25" s="862">
        <f t="shared" si="10"/>
        <v>3.0729018305690359E-2</v>
      </c>
      <c r="P25" s="863">
        <f t="shared" si="10"/>
        <v>3.1675409162530366E-2</v>
      </c>
    </row>
    <row r="26" spans="2:16" s="824" customFormat="1" ht="13.35" customHeight="1" x14ac:dyDescent="0.2">
      <c r="B26" s="807"/>
      <c r="C26" s="808" t="s">
        <v>517</v>
      </c>
      <c r="D26" s="809"/>
      <c r="E26" s="860">
        <f t="shared" ref="E26:P26" si="11">E11/E$17</f>
        <v>0.81560626807214276</v>
      </c>
      <c r="F26" s="860">
        <f t="shared" si="11"/>
        <v>0.82467539736537798</v>
      </c>
      <c r="G26" s="861">
        <f t="shared" si="11"/>
        <v>0.81036742907725512</v>
      </c>
      <c r="H26" s="860">
        <f t="shared" si="11"/>
        <v>0.81560685690338885</v>
      </c>
      <c r="I26" s="860">
        <f t="shared" si="11"/>
        <v>0.82467539736456896</v>
      </c>
      <c r="J26" s="861">
        <f t="shared" si="11"/>
        <v>0.81036742907782588</v>
      </c>
      <c r="K26" s="860">
        <f t="shared" si="11"/>
        <v>0.79609798129000497</v>
      </c>
      <c r="L26" s="860">
        <f t="shared" si="11"/>
        <v>0.80668625876050515</v>
      </c>
      <c r="M26" s="861">
        <f t="shared" si="11"/>
        <v>0.79393774404819095</v>
      </c>
      <c r="N26" s="860">
        <f t="shared" si="11"/>
        <v>0.80544739083596262</v>
      </c>
      <c r="O26" s="860">
        <f t="shared" si="11"/>
        <v>0.80590983454443887</v>
      </c>
      <c r="P26" s="861">
        <f t="shared" si="11"/>
        <v>0.78356041556760259</v>
      </c>
    </row>
    <row r="27" spans="2:16" s="824" customFormat="1" ht="13.35" customHeight="1" x14ac:dyDescent="0.2">
      <c r="B27" s="816"/>
      <c r="C27" s="817" t="s">
        <v>153</v>
      </c>
      <c r="D27" s="818"/>
      <c r="E27" s="862">
        <f t="shared" ref="E27:P27" si="12">E12/E$17</f>
        <v>0.18969874863905239</v>
      </c>
      <c r="F27" s="862">
        <f t="shared" si="12"/>
        <v>0.14060270845204578</v>
      </c>
      <c r="G27" s="863">
        <f t="shared" si="12"/>
        <v>0.13467593405550868</v>
      </c>
      <c r="H27" s="862">
        <f t="shared" si="12"/>
        <v>0.18969888982593025</v>
      </c>
      <c r="I27" s="862">
        <f t="shared" si="12"/>
        <v>0.14060270845127482</v>
      </c>
      <c r="J27" s="863">
        <f t="shared" si="12"/>
        <v>0.13467593406092845</v>
      </c>
      <c r="K27" s="862">
        <f t="shared" si="12"/>
        <v>0.1416501261693747</v>
      </c>
      <c r="L27" s="862">
        <f t="shared" si="12"/>
        <v>0.10411471818198238</v>
      </c>
      <c r="M27" s="863">
        <f t="shared" si="12"/>
        <v>0.10136457649722787</v>
      </c>
      <c r="N27" s="862">
        <f t="shared" si="12"/>
        <v>0.10471834833631448</v>
      </c>
      <c r="O27" s="862">
        <f t="shared" si="12"/>
        <v>8.3107060981919612E-2</v>
      </c>
      <c r="P27" s="863">
        <f t="shared" si="12"/>
        <v>8.4197010642490008E-2</v>
      </c>
    </row>
    <row r="28" spans="2:16" s="824" customFormat="1" ht="13.35" customHeight="1" x14ac:dyDescent="0.2">
      <c r="B28" s="816"/>
      <c r="C28" s="817" t="s">
        <v>497</v>
      </c>
      <c r="D28" s="818"/>
      <c r="E28" s="862">
        <f t="shared" ref="E28:P28" si="13">E13/E$17</f>
        <v>2.464781933278715E-2</v>
      </c>
      <c r="F28" s="862">
        <f t="shared" si="13"/>
        <v>2.7020940364326555E-2</v>
      </c>
      <c r="G28" s="863">
        <f t="shared" si="13"/>
        <v>2.808299808728339E-2</v>
      </c>
      <c r="H28" s="862">
        <f t="shared" si="13"/>
        <v>2.4647919708218918E-2</v>
      </c>
      <c r="I28" s="862">
        <f t="shared" si="13"/>
        <v>2.702094036422751E-2</v>
      </c>
      <c r="J28" s="863">
        <f t="shared" si="13"/>
        <v>2.8082998086878853E-2</v>
      </c>
      <c r="K28" s="862">
        <f t="shared" si="13"/>
        <v>2.9235713626292466E-2</v>
      </c>
      <c r="L28" s="862">
        <f t="shared" si="13"/>
        <v>3.2121921578315248E-2</v>
      </c>
      <c r="M28" s="863">
        <f t="shared" si="13"/>
        <v>3.2314932031051867E-2</v>
      </c>
      <c r="N28" s="862">
        <f t="shared" si="13"/>
        <v>3.2543708585027975E-2</v>
      </c>
      <c r="O28" s="862">
        <f t="shared" si="13"/>
        <v>3.6500731560694541E-2</v>
      </c>
      <c r="P28" s="863">
        <f t="shared" si="13"/>
        <v>3.6673951280491043E-2</v>
      </c>
    </row>
    <row r="29" spans="2:16" s="824" customFormat="1" ht="24.95" customHeight="1" x14ac:dyDescent="0.2">
      <c r="B29" s="816"/>
      <c r="C29" s="1040" t="s">
        <v>549</v>
      </c>
      <c r="D29" s="1041"/>
      <c r="E29" s="862">
        <f t="shared" ref="E29:P29" si="14">E14/E$17</f>
        <v>0.41174110262271657</v>
      </c>
      <c r="F29" s="862">
        <f t="shared" si="14"/>
        <v>0.47789582299240491</v>
      </c>
      <c r="G29" s="863">
        <f t="shared" si="14"/>
        <v>0.50321504686657947</v>
      </c>
      <c r="H29" s="862">
        <f t="shared" si="14"/>
        <v>0.41174130141048049</v>
      </c>
      <c r="I29" s="862">
        <f t="shared" si="14"/>
        <v>0.47789582299346767</v>
      </c>
      <c r="J29" s="863">
        <f t="shared" si="14"/>
        <v>0.50321504686963425</v>
      </c>
      <c r="K29" s="862">
        <f t="shared" si="14"/>
        <v>0.41978301175529298</v>
      </c>
      <c r="L29" s="862">
        <f t="shared" si="14"/>
        <v>0.47776264496843657</v>
      </c>
      <c r="M29" s="863">
        <f t="shared" si="14"/>
        <v>0.50415066055553226</v>
      </c>
      <c r="N29" s="862">
        <f t="shared" si="14"/>
        <v>0.43548293951282713</v>
      </c>
      <c r="O29" s="862">
        <f t="shared" si="14"/>
        <v>0.47023197953840895</v>
      </c>
      <c r="P29" s="863">
        <f t="shared" si="14"/>
        <v>0.48631950781158795</v>
      </c>
    </row>
    <row r="30" spans="2:16" s="824" customFormat="1" ht="13.35" customHeight="1" x14ac:dyDescent="0.2">
      <c r="B30" s="819"/>
      <c r="C30" s="817" t="s">
        <v>154</v>
      </c>
      <c r="D30" s="820"/>
      <c r="E30" s="862">
        <f t="shared" ref="E30:P30" si="15">E15/E$17</f>
        <v>0.18951859747758668</v>
      </c>
      <c r="F30" s="862">
        <f t="shared" si="15"/>
        <v>0.17915592555660073</v>
      </c>
      <c r="G30" s="863">
        <f t="shared" si="15"/>
        <v>0.14439345006788351</v>
      </c>
      <c r="H30" s="862">
        <f t="shared" si="15"/>
        <v>0.18951874595875925</v>
      </c>
      <c r="I30" s="862">
        <f t="shared" si="15"/>
        <v>0.179155925555599</v>
      </c>
      <c r="J30" s="863">
        <f t="shared" si="15"/>
        <v>0.14439345006038437</v>
      </c>
      <c r="K30" s="862">
        <f t="shared" si="15"/>
        <v>0.20542912973904481</v>
      </c>
      <c r="L30" s="862">
        <f t="shared" si="15"/>
        <v>0.19268697403177096</v>
      </c>
      <c r="M30" s="863">
        <f t="shared" si="15"/>
        <v>0.15610757496437894</v>
      </c>
      <c r="N30" s="862">
        <f t="shared" si="15"/>
        <v>0.23270239440179302</v>
      </c>
      <c r="O30" s="862">
        <f t="shared" si="15"/>
        <v>0.21607006246341565</v>
      </c>
      <c r="P30" s="863">
        <f t="shared" si="15"/>
        <v>0.17636994583303361</v>
      </c>
    </row>
    <row r="31" spans="2:16" s="824" customFormat="1" ht="13.35" customHeight="1" x14ac:dyDescent="0.2">
      <c r="B31" s="821"/>
      <c r="C31" s="822" t="s">
        <v>4</v>
      </c>
      <c r="D31" s="823"/>
      <c r="E31" s="864">
        <f t="shared" ref="E31:P31" si="16">E16/E$17</f>
        <v>6.5092073370114731E-2</v>
      </c>
      <c r="F31" s="864">
        <f t="shared" si="16"/>
        <v>2.8074171687723474E-2</v>
      </c>
      <c r="G31" s="865">
        <f t="shared" si="16"/>
        <v>2.7147164817495479E-2</v>
      </c>
      <c r="H31" s="864">
        <f t="shared" si="16"/>
        <v>6.5091517483152256E-2</v>
      </c>
      <c r="I31" s="864">
        <f t="shared" si="16"/>
        <v>2.8074171687682007E-2</v>
      </c>
      <c r="J31" s="865">
        <f t="shared" si="16"/>
        <v>2.7147164813765164E-2</v>
      </c>
      <c r="K31" s="864">
        <f t="shared" si="16"/>
        <v>7.447762801575579E-2</v>
      </c>
      <c r="L31" s="864">
        <f t="shared" si="16"/>
        <v>3.9738940074874156E-2</v>
      </c>
      <c r="M31" s="865">
        <f t="shared" si="16"/>
        <v>3.8108353281059083E-2</v>
      </c>
      <c r="N31" s="864">
        <f t="shared" si="16"/>
        <v>3.945513562782401E-2</v>
      </c>
      <c r="O31" s="864">
        <f t="shared" si="16"/>
        <v>1.3390711617085998E-2</v>
      </c>
      <c r="P31" s="865">
        <f t="shared" si="16"/>
        <v>1.9114215956913629E-2</v>
      </c>
    </row>
    <row r="32" spans="2:16" s="824" customFormat="1" ht="13.35" customHeight="1" x14ac:dyDescent="0.2">
      <c r="B32" s="597"/>
      <c r="C32" s="601" t="s">
        <v>8</v>
      </c>
      <c r="D32" s="606"/>
      <c r="E32" s="864">
        <f t="shared" ref="E32:P32" si="17">E17/E$17</f>
        <v>1</v>
      </c>
      <c r="F32" s="866">
        <f t="shared" si="17"/>
        <v>1</v>
      </c>
      <c r="G32" s="865">
        <f t="shared" si="17"/>
        <v>1</v>
      </c>
      <c r="H32" s="864">
        <f t="shared" si="17"/>
        <v>1</v>
      </c>
      <c r="I32" s="864">
        <f t="shared" si="17"/>
        <v>1</v>
      </c>
      <c r="J32" s="865">
        <f t="shared" si="17"/>
        <v>1</v>
      </c>
      <c r="K32" s="864">
        <f t="shared" si="17"/>
        <v>1</v>
      </c>
      <c r="L32" s="864">
        <f t="shared" si="17"/>
        <v>1</v>
      </c>
      <c r="M32" s="865">
        <f t="shared" si="17"/>
        <v>1</v>
      </c>
      <c r="N32" s="864">
        <f t="shared" si="17"/>
        <v>1</v>
      </c>
      <c r="O32" s="864">
        <f t="shared" si="17"/>
        <v>1</v>
      </c>
      <c r="P32" s="865">
        <f t="shared" si="17"/>
        <v>1</v>
      </c>
    </row>
    <row r="33" spans="2:16" ht="12" customHeight="1" x14ac:dyDescent="0.2">
      <c r="B33" s="825" t="s">
        <v>501</v>
      </c>
      <c r="C33" s="826" t="s">
        <v>502</v>
      </c>
      <c r="D33" s="827"/>
      <c r="E33" s="810"/>
      <c r="F33" s="810"/>
      <c r="G33" s="810"/>
      <c r="H33" s="810"/>
      <c r="I33" s="810"/>
      <c r="J33" s="810"/>
      <c r="K33" s="810"/>
      <c r="L33" s="810"/>
      <c r="M33" s="810"/>
      <c r="N33" s="810"/>
      <c r="O33" s="810"/>
      <c r="P33" s="810"/>
    </row>
    <row r="34" spans="2:16" ht="11.45" customHeight="1" x14ac:dyDescent="0.2">
      <c r="B34" s="825" t="s">
        <v>503</v>
      </c>
      <c r="C34" s="1036" t="s">
        <v>504</v>
      </c>
      <c r="D34" s="1036"/>
      <c r="E34" s="1036"/>
      <c r="F34" s="1036"/>
      <c r="G34" s="1036"/>
      <c r="H34" s="1036"/>
      <c r="I34" s="1036"/>
      <c r="J34" s="1036"/>
      <c r="K34" s="1036"/>
      <c r="L34" s="1036"/>
      <c r="M34" s="1036"/>
      <c r="N34" s="1036"/>
      <c r="O34" s="1036"/>
      <c r="P34" s="1036"/>
    </row>
    <row r="35" spans="2:16" ht="11.45" customHeight="1" x14ac:dyDescent="0.2">
      <c r="B35" s="825"/>
      <c r="C35" s="1036"/>
      <c r="D35" s="1036"/>
      <c r="E35" s="1036"/>
      <c r="F35" s="1036"/>
      <c r="G35" s="1036"/>
      <c r="H35" s="1036"/>
      <c r="I35" s="1036"/>
      <c r="J35" s="1036"/>
      <c r="K35" s="1036"/>
      <c r="L35" s="1036"/>
      <c r="M35" s="1036"/>
      <c r="N35" s="1036"/>
      <c r="O35" s="1036"/>
      <c r="P35" s="1036"/>
    </row>
    <row r="36" spans="2:16" ht="11.45" customHeight="1" x14ac:dyDescent="0.2">
      <c r="B36" s="828"/>
      <c r="C36" s="1036"/>
      <c r="D36" s="1036"/>
      <c r="E36" s="1036"/>
      <c r="F36" s="1036"/>
      <c r="G36" s="1036"/>
      <c r="H36" s="1036"/>
      <c r="I36" s="1036"/>
      <c r="J36" s="1036"/>
      <c r="K36" s="1036"/>
      <c r="L36" s="1036"/>
      <c r="M36" s="1036"/>
      <c r="N36" s="1036"/>
      <c r="O36" s="1036"/>
      <c r="P36" s="1036"/>
    </row>
    <row r="37" spans="2:16" ht="12" customHeight="1" x14ac:dyDescent="0.2">
      <c r="B37" s="825" t="s">
        <v>505</v>
      </c>
      <c r="C37" s="826" t="s">
        <v>506</v>
      </c>
      <c r="D37" s="827"/>
      <c r="E37" s="810"/>
      <c r="F37" s="810"/>
      <c r="G37" s="810"/>
      <c r="H37" s="810"/>
      <c r="I37" s="810"/>
      <c r="J37" s="810"/>
      <c r="K37" s="810"/>
      <c r="L37" s="810"/>
      <c r="M37" s="810"/>
      <c r="N37" s="810"/>
      <c r="O37" s="810"/>
      <c r="P37" s="810"/>
    </row>
    <row r="38" spans="2:16" ht="12" customHeight="1" x14ac:dyDescent="0.2">
      <c r="B38" s="825" t="s">
        <v>507</v>
      </c>
      <c r="C38" s="826" t="s">
        <v>508</v>
      </c>
      <c r="D38" s="827"/>
      <c r="E38" s="810"/>
      <c r="F38" s="810"/>
      <c r="G38" s="810"/>
      <c r="H38" s="810"/>
      <c r="I38" s="810"/>
      <c r="J38" s="810"/>
      <c r="K38" s="810"/>
      <c r="L38" s="810"/>
      <c r="M38" s="810"/>
      <c r="N38" s="810"/>
      <c r="O38" s="810"/>
      <c r="P38" s="810"/>
    </row>
    <row r="39" spans="2:16" ht="11.45" customHeight="1" x14ac:dyDescent="0.2">
      <c r="B39" s="825" t="s">
        <v>509</v>
      </c>
      <c r="C39" s="1037" t="s">
        <v>513</v>
      </c>
      <c r="D39" s="1037"/>
      <c r="E39" s="1037"/>
      <c r="F39" s="1037"/>
      <c r="G39" s="1037"/>
      <c r="H39" s="1037"/>
      <c r="I39" s="1037"/>
      <c r="J39" s="1037"/>
      <c r="K39" s="1037"/>
      <c r="L39" s="1037"/>
      <c r="M39" s="1037"/>
      <c r="N39" s="1037"/>
      <c r="O39" s="1037"/>
      <c r="P39" s="1037"/>
    </row>
    <row r="40" spans="2:16" ht="11.45" customHeight="1" x14ac:dyDescent="0.2">
      <c r="B40" s="825"/>
      <c r="C40" s="1037"/>
      <c r="D40" s="1037"/>
      <c r="E40" s="1037"/>
      <c r="F40" s="1037"/>
      <c r="G40" s="1037"/>
      <c r="H40" s="1037"/>
      <c r="I40" s="1037"/>
      <c r="J40" s="1037"/>
      <c r="K40" s="1037"/>
      <c r="L40" s="1037"/>
      <c r="M40" s="1037"/>
      <c r="N40" s="1037"/>
      <c r="O40" s="1037"/>
      <c r="P40" s="1037"/>
    </row>
    <row r="41" spans="2:16" ht="12" customHeight="1" x14ac:dyDescent="0.2">
      <c r="B41" s="825" t="s">
        <v>510</v>
      </c>
      <c r="C41" s="826" t="s">
        <v>511</v>
      </c>
      <c r="D41" s="827"/>
      <c r="E41" s="810"/>
      <c r="F41" s="810"/>
      <c r="G41" s="810"/>
      <c r="H41" s="810"/>
      <c r="I41" s="810"/>
      <c r="J41" s="810"/>
      <c r="K41" s="810"/>
      <c r="L41" s="810"/>
      <c r="M41" s="810"/>
      <c r="N41" s="810"/>
      <c r="O41" s="810"/>
      <c r="P41" s="810"/>
    </row>
    <row r="42" spans="2:16" s="832" customFormat="1" ht="11.25" x14ac:dyDescent="0.2">
      <c r="B42" s="829"/>
      <c r="C42" s="830"/>
      <c r="D42" s="830"/>
      <c r="E42" s="831"/>
      <c r="F42" s="831"/>
      <c r="G42" s="831"/>
      <c r="H42" s="831"/>
      <c r="I42" s="831"/>
      <c r="J42" s="831"/>
      <c r="K42" s="831"/>
      <c r="L42" s="831"/>
      <c r="M42" s="831"/>
      <c r="N42" s="831"/>
      <c r="O42" s="831"/>
      <c r="P42" s="831"/>
    </row>
    <row r="43" spans="2:16" x14ac:dyDescent="0.2">
      <c r="I43" s="835" t="s">
        <v>371</v>
      </c>
    </row>
    <row r="47" spans="2:16" ht="12.75" hidden="1" customHeight="1" x14ac:dyDescent="0.2">
      <c r="D47" s="837" t="s">
        <v>512</v>
      </c>
      <c r="E47" s="838">
        <f>A2.3.1!E39-E17</f>
        <v>0</v>
      </c>
      <c r="F47" s="838">
        <f>A2.3.1!F39-F48</f>
        <v>0</v>
      </c>
      <c r="G47" s="838">
        <f>A2.3.1!G39-G17</f>
        <v>0</v>
      </c>
      <c r="H47" s="838">
        <f>A2.3.1!H39-H17</f>
        <v>0</v>
      </c>
      <c r="I47" s="838">
        <f>A2.3.1!I39-I48</f>
        <v>0</v>
      </c>
      <c r="J47" s="838">
        <f>A2.3.1!J39-J17</f>
        <v>0</v>
      </c>
      <c r="K47" s="838">
        <f>A2.3.1!K39-K17</f>
        <v>0</v>
      </c>
      <c r="L47" s="838">
        <f>A2.3.1!L39-L48</f>
        <v>0</v>
      </c>
      <c r="M47" s="838">
        <f>A2.3.1!M39-M17</f>
        <v>0</v>
      </c>
      <c r="N47" s="838">
        <f>A2.3.1!N39-N17</f>
        <v>0</v>
      </c>
      <c r="O47" s="838">
        <f>A2.3.1!O39-O48</f>
        <v>0</v>
      </c>
      <c r="P47" s="839">
        <f>A2.3.1!P39-P17</f>
        <v>0</v>
      </c>
    </row>
    <row r="48" spans="2:16" ht="12.75" hidden="1" customHeight="1" x14ac:dyDescent="0.2">
      <c r="F48" s="841">
        <f>F4+F7+F11+F16</f>
        <v>818509.868487</v>
      </c>
      <c r="I48" s="841">
        <f>I4+I7+I11+I16</f>
        <v>867346.47333100007</v>
      </c>
      <c r="L48" s="841">
        <f>L4+L7+L11+L16</f>
        <v>962782.58747999999</v>
      </c>
      <c r="O48" s="841">
        <f>O4+O7+O11+O16</f>
        <v>1023935.7377770002</v>
      </c>
    </row>
    <row r="49" spans="5:5" s="806" customFormat="1" ht="12" x14ac:dyDescent="0.2">
      <c r="E49" s="840"/>
    </row>
  </sheetData>
  <mergeCells count="5">
    <mergeCell ref="C34:P36"/>
    <mergeCell ref="C39:P40"/>
    <mergeCell ref="C3:D3"/>
    <mergeCell ref="C14:D14"/>
    <mergeCell ref="C29:D29"/>
  </mergeCells>
  <hyperlinks>
    <hyperlink ref="I43" location="CONTENTS!A1" display="CONTENTS!A1"/>
  </hyperlinks>
  <pageMargins left="0.98425196850393704" right="0.98425196850393704"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pageSetUpPr fitToPage="1"/>
  </sheetPr>
  <dimension ref="A1:K87"/>
  <sheetViews>
    <sheetView showGridLines="0" zoomScaleNormal="100" zoomScaleSheetLayoutView="90" workbookViewId="0"/>
  </sheetViews>
  <sheetFormatPr defaultColWidth="9.140625" defaultRowHeight="11.25" x14ac:dyDescent="0.2"/>
  <cols>
    <col min="1" max="1" width="3.7109375" style="233" customWidth="1"/>
    <col min="2" max="2" width="0.85546875" style="233" customWidth="1"/>
    <col min="3" max="7" width="10.5703125" style="233" customWidth="1"/>
    <col min="8" max="10" width="11.7109375" style="233" customWidth="1"/>
    <col min="11" max="16384" width="9.140625" style="233"/>
  </cols>
  <sheetData>
    <row r="1" spans="1:10" ht="15" customHeight="1" x14ac:dyDescent="0.2">
      <c r="B1" s="447" t="s">
        <v>545</v>
      </c>
      <c r="C1" s="408"/>
    </row>
    <row r="2" spans="1:10" ht="13.35" customHeight="1" x14ac:dyDescent="0.2">
      <c r="A2" s="316"/>
      <c r="B2" s="491"/>
      <c r="C2" s="961" t="s">
        <v>80</v>
      </c>
      <c r="D2" s="961"/>
      <c r="E2" s="974" t="s">
        <v>461</v>
      </c>
      <c r="F2" s="969"/>
      <c r="G2" s="971" t="s">
        <v>460</v>
      </c>
      <c r="H2" s="967" t="s">
        <v>327</v>
      </c>
      <c r="I2" s="967"/>
      <c r="J2" s="968"/>
    </row>
    <row r="3" spans="1:10" ht="12.6" customHeight="1" x14ac:dyDescent="0.2">
      <c r="A3" s="316"/>
      <c r="B3" s="492"/>
      <c r="C3" s="962"/>
      <c r="D3" s="962"/>
      <c r="E3" s="975"/>
      <c r="F3" s="976"/>
      <c r="G3" s="973"/>
      <c r="H3" s="969" t="s">
        <v>461</v>
      </c>
      <c r="I3" s="969"/>
      <c r="J3" s="971" t="s">
        <v>460</v>
      </c>
    </row>
    <row r="4" spans="1:10" ht="12.6" customHeight="1" x14ac:dyDescent="0.2">
      <c r="A4" s="316"/>
      <c r="B4" s="493"/>
      <c r="C4" s="963"/>
      <c r="D4" s="963"/>
      <c r="E4" s="977"/>
      <c r="F4" s="970"/>
      <c r="G4" s="972"/>
      <c r="H4" s="970"/>
      <c r="I4" s="970"/>
      <c r="J4" s="972"/>
    </row>
    <row r="5" spans="1:10" ht="13.35" customHeight="1" x14ac:dyDescent="0.2">
      <c r="A5" s="317"/>
      <c r="B5" s="493"/>
      <c r="C5" s="747" t="s">
        <v>458</v>
      </c>
      <c r="D5" s="489" t="s">
        <v>457</v>
      </c>
      <c r="E5" s="746" t="s">
        <v>458</v>
      </c>
      <c r="F5" s="489" t="s">
        <v>404</v>
      </c>
      <c r="G5" s="490" t="s">
        <v>404</v>
      </c>
      <c r="H5" s="746" t="s">
        <v>458</v>
      </c>
      <c r="I5" s="489" t="s">
        <v>459</v>
      </c>
      <c r="J5" s="490" t="s">
        <v>404</v>
      </c>
    </row>
    <row r="6" spans="1:10" ht="13.35" customHeight="1" x14ac:dyDescent="0.2">
      <c r="A6" s="317"/>
      <c r="B6" s="314"/>
      <c r="C6" s="486">
        <v>22000</v>
      </c>
      <c r="D6" s="487">
        <f t="shared" ref="D6:D24" si="0">C6*$E$41</f>
        <v>61105.691056910575</v>
      </c>
      <c r="E6" s="314">
        <f t="shared" ref="E6:E24" si="1">VLOOKUP(C6,$C$52:$I$60,5)+(C6-VLOOKUP(C6,$C$52:$I$60,1))*VLOOKUP(C6,$C$52:$I$60,7)-$K$63</f>
        <v>2384.7200000000003</v>
      </c>
      <c r="F6" s="268">
        <f t="shared" ref="F6:F24" si="2">VLOOKUP(D6,$C$52:$I$60,5)+(D6-VLOOKUP(D6,$C$52:$I$60,1))*VLOOKUP(D6,$C$52:$I$60,7)-$K$63</f>
        <v>17040.017154471549</v>
      </c>
      <c r="G6" s="331">
        <f t="shared" ref="G6:G24" si="3">VLOOKUP(D6,$C$71:$I$76,5)+(D6-VLOOKUP(D6,$C$71:$I$76,1))*VLOOKUP(D6,$C$71:$I$76,7)-$K$79</f>
        <v>244.02439024390333</v>
      </c>
      <c r="H6" s="264">
        <f>E6/C6</f>
        <v>0.10839636363636365</v>
      </c>
      <c r="I6" s="264">
        <f>F6/D6</f>
        <v>0.27886137706226721</v>
      </c>
      <c r="J6" s="265">
        <f>G6/D6</f>
        <v>3.9934805747738299E-3</v>
      </c>
    </row>
    <row r="7" spans="1:10" ht="13.35" customHeight="1" x14ac:dyDescent="0.2">
      <c r="A7" s="317"/>
      <c r="B7" s="314"/>
      <c r="C7" s="268">
        <v>25000</v>
      </c>
      <c r="D7" s="269">
        <f t="shared" si="0"/>
        <v>69438.28529194383</v>
      </c>
      <c r="E7" s="314">
        <f t="shared" si="1"/>
        <v>3224.7200000000003</v>
      </c>
      <c r="F7" s="268">
        <f t="shared" si="2"/>
        <v>20623.032675535847</v>
      </c>
      <c r="G7" s="331">
        <f t="shared" si="3"/>
        <v>1743.8913525498883</v>
      </c>
      <c r="H7" s="264">
        <f t="shared" ref="H7:H24" si="4">E7/C7</f>
        <v>0.12898880000000001</v>
      </c>
      <c r="I7" s="264">
        <f t="shared" ref="I7:I24" si="5">F7/D7</f>
        <v>0.29699801181479513</v>
      </c>
      <c r="J7" s="265">
        <f t="shared" ref="J7:J24" si="6">G7/D7</f>
        <v>2.5114262905800946E-2</v>
      </c>
    </row>
    <row r="8" spans="1:10" ht="13.35" customHeight="1" x14ac:dyDescent="0.2">
      <c r="A8" s="317"/>
      <c r="B8" s="314"/>
      <c r="C8" s="268">
        <v>30000</v>
      </c>
      <c r="D8" s="269">
        <f t="shared" si="0"/>
        <v>83325.942350332596</v>
      </c>
      <c r="E8" s="314">
        <f t="shared" si="1"/>
        <v>4624.72</v>
      </c>
      <c r="F8" s="268">
        <f t="shared" si="2"/>
        <v>26594.725210643017</v>
      </c>
      <c r="G8" s="331">
        <f t="shared" si="3"/>
        <v>4243.6696230598664</v>
      </c>
      <c r="H8" s="264">
        <f t="shared" si="4"/>
        <v>0.15415733333333334</v>
      </c>
      <c r="I8" s="264">
        <f t="shared" si="5"/>
        <v>0.3191650098456626</v>
      </c>
      <c r="J8" s="265">
        <f t="shared" si="6"/>
        <v>5.0928552421500788E-2</v>
      </c>
    </row>
    <row r="9" spans="1:10" ht="13.35" customHeight="1" x14ac:dyDescent="0.2">
      <c r="A9" s="317"/>
      <c r="B9" s="314"/>
      <c r="C9" s="268">
        <v>40000</v>
      </c>
      <c r="D9" s="269">
        <f t="shared" si="0"/>
        <v>111101.25646711014</v>
      </c>
      <c r="E9" s="314">
        <f t="shared" si="1"/>
        <v>8224.64</v>
      </c>
      <c r="F9" s="268">
        <f t="shared" si="2"/>
        <v>38538.110280857363</v>
      </c>
      <c r="G9" s="331">
        <f t="shared" si="3"/>
        <v>9243.2261640798242</v>
      </c>
      <c r="H9" s="264">
        <f t="shared" si="4"/>
        <v>0.20561599999999999</v>
      </c>
      <c r="I9" s="264">
        <f t="shared" si="5"/>
        <v>0.34687375738424697</v>
      </c>
      <c r="J9" s="265">
        <f t="shared" si="6"/>
        <v>8.3196414316125594E-2</v>
      </c>
    </row>
    <row r="10" spans="1:10" ht="13.35" customHeight="1" x14ac:dyDescent="0.2">
      <c r="A10" s="317"/>
      <c r="B10" s="314"/>
      <c r="C10" s="268">
        <v>50000</v>
      </c>
      <c r="D10" s="269">
        <f t="shared" si="0"/>
        <v>138876.57058388766</v>
      </c>
      <c r="E10" s="314">
        <f t="shared" si="1"/>
        <v>12324.59</v>
      </c>
      <c r="F10" s="268">
        <f t="shared" si="2"/>
        <v>50481.495351071695</v>
      </c>
      <c r="G10" s="331">
        <f t="shared" si="3"/>
        <v>14242.782705099777</v>
      </c>
      <c r="H10" s="264">
        <f t="shared" si="4"/>
        <v>0.24649180000000001</v>
      </c>
      <c r="I10" s="264">
        <f t="shared" si="5"/>
        <v>0.36349900590739759</v>
      </c>
      <c r="J10" s="265">
        <f t="shared" si="6"/>
        <v>0.10255713145290046</v>
      </c>
    </row>
    <row r="11" spans="1:10" ht="13.35" customHeight="1" x14ac:dyDescent="0.2">
      <c r="A11" s="317"/>
      <c r="B11" s="314"/>
      <c r="C11" s="268">
        <v>100000</v>
      </c>
      <c r="D11" s="269">
        <f t="shared" si="0"/>
        <v>277753.14116777532</v>
      </c>
      <c r="E11" s="314">
        <f t="shared" si="1"/>
        <v>33764.57</v>
      </c>
      <c r="F11" s="268">
        <f t="shared" si="2"/>
        <v>110198.42070214338</v>
      </c>
      <c r="G11" s="331">
        <f t="shared" si="3"/>
        <v>50320.642350332593</v>
      </c>
      <c r="H11" s="264">
        <f t="shared" si="4"/>
        <v>0.33764569999999999</v>
      </c>
      <c r="I11" s="264">
        <f t="shared" si="5"/>
        <v>0.39674950295369876</v>
      </c>
      <c r="J11" s="265">
        <f t="shared" si="6"/>
        <v>0.18117038078765299</v>
      </c>
    </row>
    <row r="12" spans="1:10" ht="13.35" hidden="1" customHeight="1" x14ac:dyDescent="0.2">
      <c r="A12" s="317"/>
      <c r="B12" s="314"/>
      <c r="C12" s="268">
        <v>150000</v>
      </c>
      <c r="D12" s="269">
        <f t="shared" si="0"/>
        <v>416629.71175166301</v>
      </c>
      <c r="E12" s="314">
        <f t="shared" si="1"/>
        <v>55264.57</v>
      </c>
      <c r="F12" s="268">
        <f t="shared" si="2"/>
        <v>169915.34605321509</v>
      </c>
      <c r="G12" s="331">
        <f t="shared" si="3"/>
        <v>96565.049113082059</v>
      </c>
      <c r="H12" s="264">
        <f t="shared" si="4"/>
        <v>0.36843046666666668</v>
      </c>
      <c r="I12" s="264">
        <f t="shared" si="5"/>
        <v>0.40783300196913252</v>
      </c>
      <c r="J12" s="265">
        <f t="shared" si="6"/>
        <v>0.2317766745609367</v>
      </c>
    </row>
    <row r="13" spans="1:10" ht="13.35" customHeight="1" x14ac:dyDescent="0.2">
      <c r="A13" s="317"/>
      <c r="B13" s="314"/>
      <c r="C13" s="268">
        <v>200000</v>
      </c>
      <c r="D13" s="269">
        <f t="shared" si="0"/>
        <v>555506.28233555064</v>
      </c>
      <c r="E13" s="314">
        <f t="shared" si="1"/>
        <v>76764.570000000007</v>
      </c>
      <c r="F13" s="268">
        <f t="shared" si="2"/>
        <v>229632.27140428676</v>
      </c>
      <c r="G13" s="331">
        <f t="shared" si="3"/>
        <v>148187.00728750924</v>
      </c>
      <c r="H13" s="264">
        <f t="shared" si="4"/>
        <v>0.38382285000000005</v>
      </c>
      <c r="I13" s="264">
        <f t="shared" si="5"/>
        <v>0.41337475147684938</v>
      </c>
      <c r="J13" s="265">
        <f t="shared" si="6"/>
        <v>0.26676027256519425</v>
      </c>
    </row>
    <row r="14" spans="1:10" ht="13.35" hidden="1" customHeight="1" x14ac:dyDescent="0.2">
      <c r="A14" s="317"/>
      <c r="B14" s="314"/>
      <c r="C14" s="268">
        <v>250000</v>
      </c>
      <c r="D14" s="269">
        <f t="shared" si="0"/>
        <v>694382.85291943839</v>
      </c>
      <c r="E14" s="314">
        <f t="shared" si="1"/>
        <v>98264.569999999992</v>
      </c>
      <c r="F14" s="268">
        <f t="shared" si="2"/>
        <v>289349.19675535848</v>
      </c>
      <c r="G14" s="331">
        <f t="shared" si="3"/>
        <v>203247.74116777536</v>
      </c>
      <c r="H14" s="264">
        <f t="shared" si="4"/>
        <v>0.39305827999999998</v>
      </c>
      <c r="I14" s="264">
        <f t="shared" si="5"/>
        <v>0.41669980118147948</v>
      </c>
      <c r="J14" s="265">
        <f t="shared" si="6"/>
        <v>0.2927027076104311</v>
      </c>
    </row>
    <row r="15" spans="1:10" ht="13.35" customHeight="1" x14ac:dyDescent="0.2">
      <c r="A15" s="317"/>
      <c r="B15" s="314"/>
      <c r="C15" s="268">
        <v>300000</v>
      </c>
      <c r="D15" s="269">
        <f t="shared" si="0"/>
        <v>833259.42350332602</v>
      </c>
      <c r="E15" s="314">
        <f t="shared" si="1"/>
        <v>119764.56999999999</v>
      </c>
      <c r="F15" s="268">
        <f t="shared" si="2"/>
        <v>349066.12210643018</v>
      </c>
      <c r="G15" s="331">
        <f t="shared" si="3"/>
        <v>258798.36940133042</v>
      </c>
      <c r="H15" s="264">
        <f t="shared" si="4"/>
        <v>0.39921523333333331</v>
      </c>
      <c r="I15" s="264">
        <f t="shared" si="5"/>
        <v>0.41891650098456623</v>
      </c>
      <c r="J15" s="265">
        <f t="shared" si="6"/>
        <v>0.31058558967535926</v>
      </c>
    </row>
    <row r="16" spans="1:10" ht="13.35" hidden="1" customHeight="1" x14ac:dyDescent="0.2">
      <c r="A16" s="317"/>
      <c r="B16" s="314"/>
      <c r="C16" s="268">
        <v>350000</v>
      </c>
      <c r="D16" s="269">
        <f t="shared" si="0"/>
        <v>972135.99408721365</v>
      </c>
      <c r="E16" s="314">
        <f t="shared" si="1"/>
        <v>141264.57</v>
      </c>
      <c r="F16" s="268">
        <f t="shared" si="2"/>
        <v>408783.04745750187</v>
      </c>
      <c r="G16" s="331">
        <f t="shared" si="3"/>
        <v>314348.99763488548</v>
      </c>
      <c r="H16" s="264">
        <f t="shared" si="4"/>
        <v>0.40361305714285717</v>
      </c>
      <c r="I16" s="264">
        <f t="shared" si="5"/>
        <v>0.42049985798677109</v>
      </c>
      <c r="J16" s="265">
        <f t="shared" si="6"/>
        <v>0.32335907686459364</v>
      </c>
    </row>
    <row r="17" spans="1:10" ht="13.35" customHeight="1" x14ac:dyDescent="0.2">
      <c r="A17" s="317"/>
      <c r="B17" s="314"/>
      <c r="C17" s="268">
        <v>400000</v>
      </c>
      <c r="D17" s="269">
        <f t="shared" si="0"/>
        <v>1111012.5646711013</v>
      </c>
      <c r="E17" s="314">
        <f t="shared" si="1"/>
        <v>162764.57</v>
      </c>
      <c r="F17" s="268">
        <f t="shared" si="2"/>
        <v>468499.97280857357</v>
      </c>
      <c r="G17" s="331">
        <f t="shared" si="3"/>
        <v>369899.62586844049</v>
      </c>
      <c r="H17" s="264">
        <f t="shared" si="4"/>
        <v>0.40691142499999999</v>
      </c>
      <c r="I17" s="264">
        <f t="shared" si="5"/>
        <v>0.42168737573842469</v>
      </c>
      <c r="J17" s="265">
        <f t="shared" si="6"/>
        <v>0.33293919225651941</v>
      </c>
    </row>
    <row r="18" spans="1:10" ht="13.35" hidden="1" customHeight="1" x14ac:dyDescent="0.2">
      <c r="A18" s="317"/>
      <c r="B18" s="314"/>
      <c r="C18" s="268">
        <v>450000</v>
      </c>
      <c r="D18" s="269">
        <f t="shared" si="0"/>
        <v>1249889.1352549891</v>
      </c>
      <c r="E18" s="314">
        <f t="shared" si="1"/>
        <v>184264.57</v>
      </c>
      <c r="F18" s="268">
        <f t="shared" si="2"/>
        <v>528216.89815964526</v>
      </c>
      <c r="G18" s="331">
        <f t="shared" si="3"/>
        <v>425450.25410199567</v>
      </c>
      <c r="H18" s="264">
        <f t="shared" si="4"/>
        <v>0.40947682222222226</v>
      </c>
      <c r="I18" s="264">
        <f t="shared" si="5"/>
        <v>0.42261100065637747</v>
      </c>
      <c r="J18" s="265">
        <f t="shared" si="6"/>
        <v>0.34039039311690616</v>
      </c>
    </row>
    <row r="19" spans="1:10" ht="13.35" customHeight="1" x14ac:dyDescent="0.2">
      <c r="A19" s="317"/>
      <c r="B19" s="314"/>
      <c r="C19" s="268">
        <v>500000</v>
      </c>
      <c r="D19" s="269">
        <f t="shared" si="0"/>
        <v>1388765.7058388768</v>
      </c>
      <c r="E19" s="314">
        <f t="shared" si="1"/>
        <v>205764.57</v>
      </c>
      <c r="F19" s="268">
        <f t="shared" si="2"/>
        <v>587933.82351071702</v>
      </c>
      <c r="G19" s="331">
        <f t="shared" si="3"/>
        <v>481000.88233555073</v>
      </c>
      <c r="H19" s="264">
        <f t="shared" si="4"/>
        <v>0.41152914000000002</v>
      </c>
      <c r="I19" s="264">
        <f t="shared" si="5"/>
        <v>0.42334990059073974</v>
      </c>
      <c r="J19" s="265">
        <f t="shared" si="6"/>
        <v>0.34635135380521559</v>
      </c>
    </row>
    <row r="20" spans="1:10" ht="13.35" customHeight="1" x14ac:dyDescent="0.2">
      <c r="A20" s="317"/>
      <c r="B20" s="314"/>
      <c r="C20" s="268">
        <v>600000</v>
      </c>
      <c r="D20" s="269">
        <f t="shared" si="0"/>
        <v>1666518.847006652</v>
      </c>
      <c r="E20" s="314">
        <f t="shared" si="1"/>
        <v>248764.57</v>
      </c>
      <c r="F20" s="268">
        <f t="shared" si="2"/>
        <v>707367.67421286041</v>
      </c>
      <c r="G20" s="331">
        <f t="shared" si="3"/>
        <v>592102.13880266086</v>
      </c>
      <c r="H20" s="264">
        <f t="shared" si="4"/>
        <v>0.41460761666666668</v>
      </c>
      <c r="I20" s="264">
        <f t="shared" si="5"/>
        <v>0.42445825049228314</v>
      </c>
      <c r="J20" s="265">
        <f t="shared" si="6"/>
        <v>0.35529279483767967</v>
      </c>
    </row>
    <row r="21" spans="1:10" ht="13.35" customHeight="1" x14ac:dyDescent="0.2">
      <c r="A21" s="317"/>
      <c r="B21" s="314"/>
      <c r="C21" s="268">
        <v>700000</v>
      </c>
      <c r="D21" s="269">
        <f t="shared" si="0"/>
        <v>1944271.9881744273</v>
      </c>
      <c r="E21" s="314">
        <f t="shared" si="1"/>
        <v>291764.57</v>
      </c>
      <c r="F21" s="268">
        <f t="shared" si="2"/>
        <v>826801.52491500368</v>
      </c>
      <c r="G21" s="331">
        <f t="shared" si="3"/>
        <v>703203.39526977099</v>
      </c>
      <c r="H21" s="264">
        <f t="shared" si="4"/>
        <v>0.41680652857142858</v>
      </c>
      <c r="I21" s="264">
        <f t="shared" si="5"/>
        <v>0.42524992899338548</v>
      </c>
      <c r="J21" s="265">
        <f t="shared" si="6"/>
        <v>0.36167953843229683</v>
      </c>
    </row>
    <row r="22" spans="1:10" ht="13.35" customHeight="1" x14ac:dyDescent="0.2">
      <c r="A22" s="317"/>
      <c r="B22" s="314"/>
      <c r="C22" s="268">
        <v>800000</v>
      </c>
      <c r="D22" s="269">
        <f t="shared" si="0"/>
        <v>2222025.1293422026</v>
      </c>
      <c r="E22" s="314">
        <f t="shared" si="1"/>
        <v>334764.57</v>
      </c>
      <c r="F22" s="268">
        <f t="shared" si="2"/>
        <v>946235.37561714707</v>
      </c>
      <c r="G22" s="331">
        <f t="shared" si="3"/>
        <v>814304.65173688112</v>
      </c>
      <c r="H22" s="264">
        <f t="shared" si="4"/>
        <v>0.41845571250000002</v>
      </c>
      <c r="I22" s="264">
        <f t="shared" si="5"/>
        <v>0.42584368786921234</v>
      </c>
      <c r="J22" s="265">
        <f t="shared" si="6"/>
        <v>0.36646959612825974</v>
      </c>
    </row>
    <row r="23" spans="1:10" ht="13.35" customHeight="1" x14ac:dyDescent="0.2">
      <c r="A23" s="317"/>
      <c r="B23" s="314"/>
      <c r="C23" s="268">
        <v>900000</v>
      </c>
      <c r="D23" s="269">
        <f t="shared" si="0"/>
        <v>2499778.2705099783</v>
      </c>
      <c r="E23" s="314">
        <f t="shared" si="1"/>
        <v>377764.57</v>
      </c>
      <c r="F23" s="268">
        <f t="shared" si="2"/>
        <v>1065669.2263192907</v>
      </c>
      <c r="G23" s="331">
        <f t="shared" si="3"/>
        <v>925405.90820399136</v>
      </c>
      <c r="H23" s="264">
        <f t="shared" si="4"/>
        <v>0.4197384111111111</v>
      </c>
      <c r="I23" s="264">
        <f t="shared" si="5"/>
        <v>0.42630550032818876</v>
      </c>
      <c r="J23" s="265">
        <f t="shared" si="6"/>
        <v>0.37019519655845312</v>
      </c>
    </row>
    <row r="24" spans="1:10" ht="13.35" customHeight="1" x14ac:dyDescent="0.2">
      <c r="A24" s="317"/>
      <c r="B24" s="315"/>
      <c r="C24" s="271">
        <v>1000000</v>
      </c>
      <c r="D24" s="272">
        <f t="shared" si="0"/>
        <v>2777531.4116777536</v>
      </c>
      <c r="E24" s="315">
        <f t="shared" si="1"/>
        <v>420764.57</v>
      </c>
      <c r="F24" s="271">
        <f t="shared" si="2"/>
        <v>1185103.077021434</v>
      </c>
      <c r="G24" s="332">
        <f t="shared" si="3"/>
        <v>1036507.1646711015</v>
      </c>
      <c r="H24" s="266">
        <f t="shared" si="4"/>
        <v>0.42076457</v>
      </c>
      <c r="I24" s="266">
        <f t="shared" si="5"/>
        <v>0.42667495029536984</v>
      </c>
      <c r="J24" s="267">
        <f t="shared" si="6"/>
        <v>0.37317567690260778</v>
      </c>
    </row>
    <row r="25" spans="1:10" ht="11.85" customHeight="1" x14ac:dyDescent="0.2">
      <c r="A25" s="273"/>
      <c r="B25" s="29" t="s">
        <v>552</v>
      </c>
      <c r="C25" s="29"/>
      <c r="D25" s="269"/>
      <c r="E25" s="268"/>
      <c r="F25" s="268"/>
      <c r="G25" s="270"/>
      <c r="H25" s="264"/>
      <c r="I25" s="264"/>
      <c r="J25" s="264"/>
    </row>
    <row r="26" spans="1:10" ht="11.85" customHeight="1" x14ac:dyDescent="0.2">
      <c r="B26" s="29" t="s">
        <v>553</v>
      </c>
      <c r="C26" s="29"/>
    </row>
    <row r="27" spans="1:10" ht="11.85" customHeight="1" x14ac:dyDescent="0.2">
      <c r="B27" s="29" t="s">
        <v>490</v>
      </c>
      <c r="C27" s="29"/>
    </row>
    <row r="28" spans="1:10" ht="11.85" customHeight="1" x14ac:dyDescent="0.2">
      <c r="B28" s="29" t="s">
        <v>537</v>
      </c>
      <c r="C28" s="29"/>
    </row>
    <row r="30" spans="1:10" ht="12.75" x14ac:dyDescent="0.2">
      <c r="F30" s="352" t="s">
        <v>371</v>
      </c>
    </row>
    <row r="34" spans="2:11" x14ac:dyDescent="0.2">
      <c r="B34" s="409"/>
      <c r="C34" s="409"/>
      <c r="D34" s="409"/>
      <c r="E34" s="409"/>
      <c r="F34" s="409"/>
      <c r="G34" s="409"/>
      <c r="H34" s="409"/>
      <c r="I34" s="409"/>
      <c r="J34" s="409"/>
      <c r="K34" s="410"/>
    </row>
    <row r="35" spans="2:11" x14ac:dyDescent="0.2">
      <c r="B35" s="409"/>
      <c r="C35" s="409"/>
      <c r="D35" s="409"/>
      <c r="E35" s="409"/>
      <c r="F35" s="409"/>
      <c r="G35" s="409"/>
      <c r="H35" s="409"/>
      <c r="I35" s="409"/>
      <c r="J35" s="409"/>
      <c r="K35" s="410"/>
    </row>
    <row r="36" spans="2:11" x14ac:dyDescent="0.2">
      <c r="B36" s="409"/>
      <c r="C36" s="409"/>
      <c r="D36" s="409"/>
      <c r="E36" s="409"/>
      <c r="F36" s="409"/>
      <c r="G36" s="409"/>
      <c r="H36" s="409"/>
      <c r="I36" s="409"/>
      <c r="J36" s="409"/>
      <c r="K36" s="410"/>
    </row>
    <row r="37" spans="2:11" x14ac:dyDescent="0.2">
      <c r="B37" s="409"/>
      <c r="C37" s="409"/>
      <c r="D37" s="409"/>
      <c r="E37" s="409"/>
      <c r="F37" s="409"/>
      <c r="G37" s="409"/>
      <c r="H37" s="409"/>
      <c r="I37" s="409"/>
      <c r="J37" s="409"/>
      <c r="K37" s="410"/>
    </row>
    <row r="39" spans="2:11" hidden="1" x14ac:dyDescent="0.2">
      <c r="B39" s="363" t="s">
        <v>341</v>
      </c>
      <c r="C39" s="443"/>
      <c r="D39" s="364" t="s">
        <v>349</v>
      </c>
      <c r="E39" s="365">
        <v>93.95</v>
      </c>
      <c r="F39" s="366"/>
      <c r="G39" s="366"/>
      <c r="H39" s="366"/>
      <c r="I39" s="367">
        <f>I6-J6</f>
        <v>0.27486789648749338</v>
      </c>
    </row>
    <row r="40" spans="2:11" hidden="1" x14ac:dyDescent="0.2">
      <c r="B40" s="368"/>
      <c r="C40" s="371"/>
      <c r="D40" s="369" t="s">
        <v>287</v>
      </c>
      <c r="E40" s="370">
        <v>33.824999999999996</v>
      </c>
      <c r="F40" s="366"/>
      <c r="G40" s="366"/>
      <c r="H40" s="366"/>
      <c r="I40" s="366"/>
    </row>
    <row r="41" spans="2:11" hidden="1" x14ac:dyDescent="0.2">
      <c r="B41" s="368" t="s">
        <v>326</v>
      </c>
      <c r="C41" s="371"/>
      <c r="D41" s="371"/>
      <c r="E41" s="372">
        <f>E39/E40</f>
        <v>2.7775314116777534</v>
      </c>
      <c r="F41" s="366"/>
      <c r="G41" s="366"/>
      <c r="H41" s="366"/>
      <c r="I41" s="366"/>
    </row>
    <row r="42" spans="2:11" hidden="1" x14ac:dyDescent="0.2"/>
    <row r="43" spans="2:11" hidden="1" x14ac:dyDescent="0.2"/>
    <row r="44" spans="2:11" hidden="1" x14ac:dyDescent="0.2"/>
    <row r="45" spans="2:11" hidden="1" x14ac:dyDescent="0.2"/>
    <row r="46" spans="2:11" hidden="1" x14ac:dyDescent="0.2"/>
    <row r="47" spans="2:11" hidden="1" x14ac:dyDescent="0.2"/>
    <row r="48" spans="2:11" hidden="1" x14ac:dyDescent="0.2"/>
    <row r="49" spans="2:11" hidden="1" x14ac:dyDescent="0.2">
      <c r="B49" s="964" t="s">
        <v>463</v>
      </c>
      <c r="C49" s="965"/>
      <c r="D49" s="965"/>
      <c r="E49" s="965"/>
      <c r="F49" s="965"/>
      <c r="G49" s="965"/>
      <c r="H49" s="965"/>
      <c r="I49" s="965"/>
      <c r="J49" s="965"/>
      <c r="K49" s="966"/>
    </row>
    <row r="50" spans="2:11" hidden="1" x14ac:dyDescent="0.2">
      <c r="B50" s="958" t="s">
        <v>328</v>
      </c>
      <c r="C50" s="959"/>
      <c r="D50" s="959"/>
      <c r="E50" s="959"/>
      <c r="F50" s="237"/>
      <c r="G50" s="959" t="s">
        <v>329</v>
      </c>
      <c r="H50" s="959"/>
      <c r="I50" s="959"/>
      <c r="J50" s="959"/>
      <c r="K50" s="960"/>
    </row>
    <row r="51" spans="2:11" hidden="1" x14ac:dyDescent="0.2">
      <c r="B51" s="260"/>
      <c r="C51" s="261"/>
      <c r="D51" s="261" t="s">
        <v>330</v>
      </c>
      <c r="E51" s="261"/>
      <c r="F51" s="261"/>
      <c r="G51" s="262" t="s">
        <v>330</v>
      </c>
      <c r="H51" s="261"/>
      <c r="I51" s="261"/>
      <c r="J51" s="261"/>
      <c r="K51" s="263" t="s">
        <v>330</v>
      </c>
    </row>
    <row r="52" spans="2:11" hidden="1" x14ac:dyDescent="0.2">
      <c r="B52" s="248">
        <v>0</v>
      </c>
      <c r="C52" s="444">
        <v>0</v>
      </c>
      <c r="D52" s="238" t="s">
        <v>331</v>
      </c>
      <c r="E52" s="239">
        <v>5000</v>
      </c>
      <c r="F52" s="240"/>
      <c r="G52" s="239"/>
      <c r="H52" s="241"/>
      <c r="I52" s="242"/>
      <c r="J52" s="241" t="s">
        <v>332</v>
      </c>
      <c r="K52" s="249"/>
    </row>
    <row r="53" spans="2:11" hidden="1" x14ac:dyDescent="0.2">
      <c r="B53" s="247">
        <v>5001</v>
      </c>
      <c r="C53" s="246">
        <f>E52+1</f>
        <v>5001</v>
      </c>
      <c r="D53" s="238" t="s">
        <v>331</v>
      </c>
      <c r="E53" s="239">
        <v>10000</v>
      </c>
      <c r="F53" s="240"/>
      <c r="G53" s="239">
        <v>850</v>
      </c>
      <c r="H53" s="241" t="s">
        <v>333</v>
      </c>
      <c r="I53" s="242">
        <v>0.19</v>
      </c>
      <c r="J53" s="241" t="s">
        <v>334</v>
      </c>
      <c r="K53" s="249">
        <v>5000</v>
      </c>
    </row>
    <row r="54" spans="2:11" hidden="1" x14ac:dyDescent="0.2">
      <c r="B54" s="247">
        <v>10001</v>
      </c>
      <c r="C54" s="246">
        <f t="shared" ref="C54:C60" si="7">E53+1</f>
        <v>10001</v>
      </c>
      <c r="D54" s="238" t="s">
        <v>331</v>
      </c>
      <c r="E54" s="239">
        <v>15000</v>
      </c>
      <c r="F54" s="240"/>
      <c r="G54" s="239">
        <v>1800</v>
      </c>
      <c r="H54" s="241" t="s">
        <v>333</v>
      </c>
      <c r="I54" s="243">
        <v>0.21</v>
      </c>
      <c r="J54" s="241" t="s">
        <v>334</v>
      </c>
      <c r="K54" s="249">
        <v>10000</v>
      </c>
    </row>
    <row r="55" spans="2:11" hidden="1" x14ac:dyDescent="0.2">
      <c r="B55" s="247">
        <v>15001</v>
      </c>
      <c r="C55" s="246">
        <f t="shared" si="7"/>
        <v>15001</v>
      </c>
      <c r="D55" s="238" t="s">
        <v>331</v>
      </c>
      <c r="E55" s="239">
        <v>20000</v>
      </c>
      <c r="F55" s="240"/>
      <c r="G55" s="239">
        <v>2850</v>
      </c>
      <c r="H55" s="241" t="s">
        <v>333</v>
      </c>
      <c r="I55" s="243">
        <v>0.24</v>
      </c>
      <c r="J55" s="241" t="s">
        <v>334</v>
      </c>
      <c r="K55" s="249">
        <v>15000</v>
      </c>
    </row>
    <row r="56" spans="2:11" hidden="1" x14ac:dyDescent="0.2">
      <c r="B56" s="247">
        <v>20001</v>
      </c>
      <c r="C56" s="246">
        <f t="shared" si="7"/>
        <v>20001</v>
      </c>
      <c r="D56" s="238" t="s">
        <v>331</v>
      </c>
      <c r="E56" s="239">
        <v>30000</v>
      </c>
      <c r="F56" s="240"/>
      <c r="G56" s="239">
        <v>4050</v>
      </c>
      <c r="H56" s="241" t="s">
        <v>333</v>
      </c>
      <c r="I56" s="243">
        <v>0.28000000000000003</v>
      </c>
      <c r="J56" s="241" t="s">
        <v>334</v>
      </c>
      <c r="K56" s="249">
        <v>20000</v>
      </c>
    </row>
    <row r="57" spans="2:11" hidden="1" x14ac:dyDescent="0.2">
      <c r="B57" s="247">
        <v>30001</v>
      </c>
      <c r="C57" s="246">
        <f t="shared" si="7"/>
        <v>30001</v>
      </c>
      <c r="D57" s="238" t="s">
        <v>331</v>
      </c>
      <c r="E57" s="239">
        <v>40000</v>
      </c>
      <c r="F57" s="240"/>
      <c r="G57" s="239">
        <v>6850</v>
      </c>
      <c r="H57" s="241" t="s">
        <v>333</v>
      </c>
      <c r="I57" s="243">
        <v>0.36</v>
      </c>
      <c r="J57" s="241" t="s">
        <v>334</v>
      </c>
      <c r="K57" s="249">
        <v>30000</v>
      </c>
    </row>
    <row r="58" spans="2:11" hidden="1" x14ac:dyDescent="0.2">
      <c r="B58" s="247">
        <v>40001</v>
      </c>
      <c r="C58" s="246">
        <f t="shared" si="7"/>
        <v>40001</v>
      </c>
      <c r="D58" s="238" t="s">
        <v>331</v>
      </c>
      <c r="E58" s="239">
        <v>50000</v>
      </c>
      <c r="F58" s="240"/>
      <c r="G58" s="239">
        <v>10450</v>
      </c>
      <c r="H58" s="241" t="s">
        <v>333</v>
      </c>
      <c r="I58" s="243">
        <v>0.41</v>
      </c>
      <c r="J58" s="241" t="s">
        <v>334</v>
      </c>
      <c r="K58" s="249">
        <v>40000</v>
      </c>
    </row>
    <row r="59" spans="2:11" hidden="1" x14ac:dyDescent="0.2">
      <c r="B59" s="247">
        <v>50001</v>
      </c>
      <c r="C59" s="246">
        <f t="shared" si="7"/>
        <v>50001</v>
      </c>
      <c r="D59" s="238" t="s">
        <v>331</v>
      </c>
      <c r="E59" s="239">
        <v>56000</v>
      </c>
      <c r="F59" s="240"/>
      <c r="G59" s="239">
        <v>14550</v>
      </c>
      <c r="H59" s="241" t="s">
        <v>333</v>
      </c>
      <c r="I59" s="243">
        <f>42%</f>
        <v>0.42</v>
      </c>
      <c r="J59" s="241" t="s">
        <v>334</v>
      </c>
      <c r="K59" s="249">
        <v>50000</v>
      </c>
    </row>
    <row r="60" spans="2:11" hidden="1" x14ac:dyDescent="0.2">
      <c r="B60" s="247">
        <v>56001</v>
      </c>
      <c r="C60" s="246">
        <f t="shared" si="7"/>
        <v>56001</v>
      </c>
      <c r="D60" s="238" t="s">
        <v>331</v>
      </c>
      <c r="E60" s="244" t="s">
        <v>144</v>
      </c>
      <c r="F60" s="240"/>
      <c r="G60" s="239">
        <v>17070</v>
      </c>
      <c r="H60" s="241" t="s">
        <v>333</v>
      </c>
      <c r="I60" s="243">
        <f>43%</f>
        <v>0.43</v>
      </c>
      <c r="J60" s="241" t="s">
        <v>334</v>
      </c>
      <c r="K60" s="249">
        <v>56000</v>
      </c>
    </row>
    <row r="61" spans="2:11" hidden="1" x14ac:dyDescent="0.2">
      <c r="B61" s="247"/>
      <c r="C61" s="246"/>
      <c r="D61" s="241"/>
      <c r="E61" s="239"/>
      <c r="F61" s="240"/>
      <c r="G61" s="239"/>
      <c r="H61" s="241"/>
      <c r="I61" s="245"/>
      <c r="J61" s="241"/>
      <c r="K61" s="249"/>
    </row>
    <row r="62" spans="2:11" hidden="1" x14ac:dyDescent="0.2">
      <c r="B62" s="250" t="s">
        <v>335</v>
      </c>
      <c r="C62" s="445"/>
      <c r="D62" s="241"/>
      <c r="E62" s="239"/>
      <c r="F62" s="240"/>
      <c r="G62" s="239"/>
      <c r="H62" s="241"/>
      <c r="I62" s="241"/>
      <c r="J62" s="241"/>
      <c r="K62" s="249"/>
    </row>
    <row r="63" spans="2:11" hidden="1" x14ac:dyDescent="0.2">
      <c r="B63" s="247"/>
      <c r="C63" s="246"/>
      <c r="D63" s="251" t="s">
        <v>147</v>
      </c>
      <c r="E63" s="239"/>
      <c r="F63" s="240"/>
      <c r="G63" s="239"/>
      <c r="H63" s="241"/>
      <c r="I63" s="241"/>
      <c r="J63" s="241"/>
      <c r="K63" s="252">
        <v>2225</v>
      </c>
    </row>
    <row r="64" spans="2:11" hidden="1" x14ac:dyDescent="0.2">
      <c r="B64" s="247"/>
      <c r="C64" s="246"/>
      <c r="D64" s="251" t="s">
        <v>336</v>
      </c>
      <c r="E64" s="239"/>
      <c r="F64" s="240"/>
      <c r="G64" s="239"/>
      <c r="H64" s="241"/>
      <c r="I64" s="241"/>
      <c r="J64" s="241"/>
      <c r="K64" s="252"/>
    </row>
    <row r="65" spans="2:11" hidden="1" x14ac:dyDescent="0.2">
      <c r="B65" s="250" t="s">
        <v>337</v>
      </c>
      <c r="C65" s="445"/>
      <c r="D65" s="241"/>
      <c r="E65" s="239"/>
      <c r="F65" s="240"/>
      <c r="G65" s="239"/>
      <c r="H65" s="241"/>
      <c r="I65" s="241"/>
      <c r="J65" s="241"/>
      <c r="K65" s="252"/>
    </row>
    <row r="66" spans="2:11" hidden="1" x14ac:dyDescent="0.2">
      <c r="B66" s="247"/>
      <c r="C66" s="246"/>
      <c r="D66" s="251" t="s">
        <v>338</v>
      </c>
      <c r="E66" s="239"/>
      <c r="F66" s="240"/>
      <c r="G66" s="239"/>
      <c r="H66" s="241"/>
      <c r="I66" s="241"/>
      <c r="J66" s="241"/>
      <c r="K66" s="252"/>
    </row>
    <row r="67" spans="2:11" hidden="1" x14ac:dyDescent="0.2">
      <c r="B67" s="255"/>
      <c r="C67" s="446"/>
      <c r="D67" s="256" t="s">
        <v>151</v>
      </c>
      <c r="E67" s="257"/>
      <c r="F67" s="258"/>
      <c r="G67" s="257"/>
      <c r="H67" s="236"/>
      <c r="I67" s="236"/>
      <c r="J67" s="236"/>
      <c r="K67" s="259"/>
    </row>
    <row r="68" spans="2:11" hidden="1" x14ac:dyDescent="0.2">
      <c r="B68" s="964" t="s">
        <v>462</v>
      </c>
      <c r="C68" s="965"/>
      <c r="D68" s="965"/>
      <c r="E68" s="965"/>
      <c r="F68" s="965"/>
      <c r="G68" s="965"/>
      <c r="H68" s="965"/>
      <c r="I68" s="965"/>
      <c r="J68" s="965"/>
      <c r="K68" s="966"/>
    </row>
    <row r="69" spans="2:11" hidden="1" x14ac:dyDescent="0.2">
      <c r="B69" s="958" t="s">
        <v>328</v>
      </c>
      <c r="C69" s="959"/>
      <c r="D69" s="959"/>
      <c r="E69" s="959"/>
      <c r="F69" s="237"/>
      <c r="G69" s="959" t="s">
        <v>329</v>
      </c>
      <c r="H69" s="959"/>
      <c r="I69" s="959"/>
      <c r="J69" s="959"/>
      <c r="K69" s="960"/>
    </row>
    <row r="70" spans="2:11" hidden="1" x14ac:dyDescent="0.2">
      <c r="B70" s="260"/>
      <c r="C70" s="261"/>
      <c r="D70" s="261" t="s">
        <v>330</v>
      </c>
      <c r="E70" s="261"/>
      <c r="F70" s="261"/>
      <c r="G70" s="262" t="s">
        <v>330</v>
      </c>
      <c r="H70" s="261"/>
      <c r="I70" s="261"/>
      <c r="J70" s="261"/>
      <c r="K70" s="263" t="s">
        <v>330</v>
      </c>
    </row>
    <row r="71" spans="2:11" hidden="1" x14ac:dyDescent="0.2">
      <c r="B71" s="248">
        <v>0</v>
      </c>
      <c r="C71" s="444">
        <v>0</v>
      </c>
      <c r="D71" s="238" t="s">
        <v>331</v>
      </c>
      <c r="E71" s="239">
        <v>150000</v>
      </c>
      <c r="F71" s="240"/>
      <c r="G71" s="239"/>
      <c r="H71" s="241"/>
      <c r="I71" s="242">
        <v>0.18</v>
      </c>
      <c r="J71" s="241" t="s">
        <v>339</v>
      </c>
      <c r="K71" s="249"/>
    </row>
    <row r="72" spans="2:11" hidden="1" x14ac:dyDescent="0.2">
      <c r="B72" s="247">
        <f>E71</f>
        <v>150000</v>
      </c>
      <c r="C72" s="246">
        <f>E71+1</f>
        <v>150001</v>
      </c>
      <c r="D72" s="238" t="s">
        <v>331</v>
      </c>
      <c r="E72" s="239">
        <v>235000</v>
      </c>
      <c r="F72" s="240"/>
      <c r="G72" s="240">
        <f>G71+(E71-B71)*I71</f>
        <v>27000</v>
      </c>
      <c r="H72" s="241" t="s">
        <v>333</v>
      </c>
      <c r="I72" s="242">
        <v>0.25</v>
      </c>
      <c r="J72" s="241" t="s">
        <v>334</v>
      </c>
      <c r="K72" s="249">
        <f>B72</f>
        <v>150000</v>
      </c>
    </row>
    <row r="73" spans="2:11" hidden="1" x14ac:dyDescent="0.2">
      <c r="B73" s="247">
        <f>E72</f>
        <v>235000</v>
      </c>
      <c r="C73" s="246">
        <f t="shared" ref="C73:C76" si="8">E72+1</f>
        <v>235001</v>
      </c>
      <c r="D73" s="238" t="s">
        <v>331</v>
      </c>
      <c r="E73" s="239">
        <v>325000</v>
      </c>
      <c r="F73" s="240"/>
      <c r="G73" s="240">
        <f>G72+(E72-B72)*I72</f>
        <v>48250</v>
      </c>
      <c r="H73" s="241" t="s">
        <v>333</v>
      </c>
      <c r="I73" s="245">
        <v>0.3</v>
      </c>
      <c r="J73" s="241" t="s">
        <v>334</v>
      </c>
      <c r="K73" s="249">
        <f>B73</f>
        <v>235000</v>
      </c>
    </row>
    <row r="74" spans="2:11" hidden="1" x14ac:dyDescent="0.2">
      <c r="B74" s="247">
        <f>E73</f>
        <v>325000</v>
      </c>
      <c r="C74" s="246">
        <f t="shared" si="8"/>
        <v>325001</v>
      </c>
      <c r="D74" s="238" t="s">
        <v>331</v>
      </c>
      <c r="E74" s="239">
        <v>455000</v>
      </c>
      <c r="F74" s="240"/>
      <c r="G74" s="240">
        <f>G73+(E73-B73)*I73</f>
        <v>75250</v>
      </c>
      <c r="H74" s="241" t="s">
        <v>333</v>
      </c>
      <c r="I74" s="245">
        <v>0.35</v>
      </c>
      <c r="J74" s="241" t="s">
        <v>334</v>
      </c>
      <c r="K74" s="249">
        <f>B74</f>
        <v>325000</v>
      </c>
    </row>
    <row r="75" spans="2:11" hidden="1" x14ac:dyDescent="0.2">
      <c r="B75" s="247">
        <f>E74</f>
        <v>455000</v>
      </c>
      <c r="C75" s="246">
        <f t="shared" si="8"/>
        <v>455001</v>
      </c>
      <c r="D75" s="238" t="s">
        <v>331</v>
      </c>
      <c r="E75" s="239">
        <v>580000</v>
      </c>
      <c r="F75" s="240"/>
      <c r="G75" s="240">
        <f>G74+(E74-B74)*I74</f>
        <v>120750</v>
      </c>
      <c r="H75" s="241" t="s">
        <v>333</v>
      </c>
      <c r="I75" s="245">
        <v>0.38</v>
      </c>
      <c r="J75" s="241" t="s">
        <v>334</v>
      </c>
      <c r="K75" s="249">
        <f>B75</f>
        <v>455000</v>
      </c>
    </row>
    <row r="76" spans="2:11" hidden="1" x14ac:dyDescent="0.2">
      <c r="B76" s="247">
        <f>E75</f>
        <v>580000</v>
      </c>
      <c r="C76" s="246">
        <f t="shared" si="8"/>
        <v>580001</v>
      </c>
      <c r="D76" s="238" t="s">
        <v>331</v>
      </c>
      <c r="E76" s="246" t="s">
        <v>340</v>
      </c>
      <c r="F76" s="240"/>
      <c r="G76" s="240">
        <f>G75+(E75-B75)*I75</f>
        <v>168250</v>
      </c>
      <c r="H76" s="241" t="s">
        <v>333</v>
      </c>
      <c r="I76" s="245">
        <v>0.4</v>
      </c>
      <c r="J76" s="241" t="s">
        <v>334</v>
      </c>
      <c r="K76" s="249">
        <f>B76</f>
        <v>580000</v>
      </c>
    </row>
    <row r="77" spans="2:11" hidden="1" x14ac:dyDescent="0.2">
      <c r="B77" s="247"/>
      <c r="C77" s="246"/>
      <c r="D77" s="241"/>
      <c r="E77" s="239"/>
      <c r="F77" s="240"/>
      <c r="G77" s="239"/>
      <c r="H77" s="241"/>
      <c r="I77" s="245"/>
      <c r="J77" s="241"/>
      <c r="K77" s="249"/>
    </row>
    <row r="78" spans="2:11" hidden="1" x14ac:dyDescent="0.2">
      <c r="B78" s="250" t="s">
        <v>335</v>
      </c>
      <c r="C78" s="445"/>
      <c r="D78" s="241"/>
      <c r="E78" s="239"/>
      <c r="F78" s="240"/>
      <c r="G78" s="239"/>
      <c r="H78" s="241"/>
      <c r="I78" s="241"/>
      <c r="J78" s="241"/>
      <c r="K78" s="249"/>
    </row>
    <row r="79" spans="2:11" hidden="1" x14ac:dyDescent="0.2">
      <c r="B79" s="247"/>
      <c r="C79" s="246"/>
      <c r="D79" s="251" t="s">
        <v>147</v>
      </c>
      <c r="E79" s="253"/>
      <c r="F79" s="254"/>
      <c r="G79" s="253"/>
      <c r="H79" s="251"/>
      <c r="I79" s="251">
        <f>66082*0.18-K79</f>
        <v>1139.7600000000002</v>
      </c>
      <c r="J79" s="251"/>
      <c r="K79" s="252">
        <v>10755</v>
      </c>
    </row>
    <row r="80" spans="2:11" hidden="1" x14ac:dyDescent="0.2">
      <c r="B80" s="247"/>
      <c r="C80" s="246"/>
      <c r="D80" s="251" t="s">
        <v>336</v>
      </c>
      <c r="E80" s="253"/>
      <c r="F80" s="254"/>
      <c r="G80" s="253"/>
      <c r="H80" s="251"/>
      <c r="I80" s="251"/>
      <c r="J80" s="251"/>
      <c r="K80" s="252">
        <v>6012</v>
      </c>
    </row>
    <row r="81" spans="2:11" hidden="1" x14ac:dyDescent="0.2">
      <c r="B81" s="247"/>
      <c r="C81" s="246"/>
      <c r="D81" s="251" t="s">
        <v>350</v>
      </c>
      <c r="E81" s="253"/>
      <c r="F81" s="254"/>
      <c r="G81" s="253"/>
      <c r="H81" s="251"/>
      <c r="I81" s="251"/>
      <c r="J81" s="251"/>
      <c r="K81" s="252">
        <v>2000</v>
      </c>
    </row>
    <row r="82" spans="2:11" hidden="1" x14ac:dyDescent="0.2">
      <c r="B82" s="247"/>
      <c r="C82" s="246"/>
      <c r="D82" s="241"/>
      <c r="E82" s="239"/>
      <c r="F82" s="240"/>
      <c r="G82" s="239"/>
      <c r="H82" s="241"/>
      <c r="I82" s="241"/>
      <c r="J82" s="241"/>
      <c r="K82" s="249"/>
    </row>
    <row r="83" spans="2:11" hidden="1" x14ac:dyDescent="0.2">
      <c r="B83" s="250" t="s">
        <v>337</v>
      </c>
      <c r="C83" s="445"/>
      <c r="D83" s="241"/>
      <c r="E83" s="239"/>
      <c r="F83" s="240"/>
      <c r="G83" s="239"/>
      <c r="H83" s="241"/>
      <c r="I83" s="241"/>
      <c r="J83" s="241"/>
      <c r="K83" s="249"/>
    </row>
    <row r="84" spans="2:11" hidden="1" x14ac:dyDescent="0.2">
      <c r="B84" s="247"/>
      <c r="C84" s="246"/>
      <c r="D84" s="251" t="s">
        <v>338</v>
      </c>
      <c r="E84" s="253"/>
      <c r="F84" s="254"/>
      <c r="G84" s="253"/>
      <c r="H84" s="251"/>
      <c r="I84" s="251"/>
      <c r="J84" s="251"/>
      <c r="K84" s="252">
        <f>K79/I71</f>
        <v>59750</v>
      </c>
    </row>
    <row r="85" spans="2:11" hidden="1" x14ac:dyDescent="0.2">
      <c r="B85" s="247"/>
      <c r="C85" s="246"/>
      <c r="D85" s="251" t="s">
        <v>351</v>
      </c>
      <c r="E85" s="253"/>
      <c r="F85" s="254"/>
      <c r="G85" s="253"/>
      <c r="H85" s="251"/>
      <c r="I85" s="251"/>
      <c r="J85" s="251"/>
      <c r="K85" s="252">
        <f>(K80+K79)/I71</f>
        <v>93150</v>
      </c>
    </row>
    <row r="86" spans="2:11" hidden="1" x14ac:dyDescent="0.2">
      <c r="B86" s="247"/>
      <c r="C86" s="246"/>
      <c r="D86" s="251" t="s">
        <v>352</v>
      </c>
      <c r="E86" s="253"/>
      <c r="F86" s="254"/>
      <c r="G86" s="253"/>
      <c r="H86" s="251"/>
      <c r="I86" s="251"/>
      <c r="J86" s="251"/>
      <c r="K86" s="252">
        <f>(+K79+K81+K80)/I71</f>
        <v>104261.11111111111</v>
      </c>
    </row>
    <row r="87" spans="2:11" hidden="1" x14ac:dyDescent="0.2">
      <c r="B87" s="234"/>
      <c r="C87" s="236"/>
      <c r="D87" s="236"/>
      <c r="E87" s="236"/>
      <c r="F87" s="236"/>
      <c r="G87" s="236"/>
      <c r="H87" s="236"/>
      <c r="I87" s="236"/>
      <c r="J87" s="236"/>
      <c r="K87" s="235"/>
    </row>
  </sheetData>
  <mergeCells count="12">
    <mergeCell ref="B69:E69"/>
    <mergeCell ref="G69:K69"/>
    <mergeCell ref="C2:D4"/>
    <mergeCell ref="B49:K49"/>
    <mergeCell ref="B50:E50"/>
    <mergeCell ref="G50:K50"/>
    <mergeCell ref="B68:K68"/>
    <mergeCell ref="H2:J2"/>
    <mergeCell ref="H3:I4"/>
    <mergeCell ref="J3:J4"/>
    <mergeCell ref="G2:G4"/>
    <mergeCell ref="E2:F4"/>
  </mergeCells>
  <hyperlinks>
    <hyperlink ref="F30" location="CONTENTS!A1" display="BACK TO CONTENTS"/>
  </hyperlinks>
  <pageMargins left="0.98425196850393704" right="0.98425196850393704" top="0.98425196850393704" bottom="0.98425196850393704" header="0.51181102362204722" footer="0.51181102362204722"/>
  <pageSetup paperSize="9"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tabColor theme="7" tint="0.79998168889431442"/>
    <pageSetUpPr fitToPage="1"/>
  </sheetPr>
  <dimension ref="B1:P114"/>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37.7109375" style="2" customWidth="1"/>
    <col min="5" max="7" width="8.7109375" style="2" customWidth="1"/>
    <col min="8" max="8" width="8.7109375" style="14" customWidth="1"/>
    <col min="9" max="9" width="8.7109375" style="62" customWidth="1"/>
    <col min="10" max="16" width="8.7109375" style="6" customWidth="1"/>
    <col min="17" max="16384" width="9.140625" style="10"/>
  </cols>
  <sheetData>
    <row r="1" spans="2:16" s="8" customFormat="1" ht="15" customHeight="1" x14ac:dyDescent="0.2">
      <c r="B1" s="439" t="s">
        <v>383</v>
      </c>
      <c r="C1" s="311"/>
      <c r="D1" s="311"/>
      <c r="E1" s="355"/>
      <c r="F1" s="355"/>
      <c r="G1" s="70"/>
      <c r="H1" s="61"/>
      <c r="I1" s="61"/>
      <c r="J1" s="5"/>
      <c r="K1" s="4"/>
      <c r="L1" s="4"/>
      <c r="M1" s="4"/>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38.1" customHeight="1" x14ac:dyDescent="0.2">
      <c r="B3" s="470"/>
      <c r="C3" s="1028" t="s">
        <v>142</v>
      </c>
      <c r="D3" s="1030"/>
      <c r="E3" s="506" t="s">
        <v>17</v>
      </c>
      <c r="F3" s="506" t="s">
        <v>67</v>
      </c>
      <c r="G3" s="507" t="s">
        <v>68</v>
      </c>
      <c r="H3" s="506" t="s">
        <v>17</v>
      </c>
      <c r="I3" s="506" t="s">
        <v>67</v>
      </c>
      <c r="J3" s="507" t="s">
        <v>68</v>
      </c>
      <c r="K3" s="506" t="s">
        <v>17</v>
      </c>
      <c r="L3" s="506" t="s">
        <v>67</v>
      </c>
      <c r="M3" s="507" t="s">
        <v>68</v>
      </c>
      <c r="N3" s="506" t="s">
        <v>17</v>
      </c>
      <c r="O3" s="506" t="s">
        <v>67</v>
      </c>
      <c r="P3" s="507" t="s">
        <v>68</v>
      </c>
    </row>
    <row r="4" spans="2:16" ht="13.35" customHeight="1" x14ac:dyDescent="0.2">
      <c r="B4" s="48"/>
      <c r="C4" s="587" t="s">
        <v>412</v>
      </c>
      <c r="D4" s="338"/>
      <c r="E4" s="15">
        <v>39055</v>
      </c>
      <c r="F4" s="15">
        <v>8569.0077970000002</v>
      </c>
      <c r="G4" s="24">
        <v>2646.3269540000001</v>
      </c>
      <c r="H4" s="15">
        <v>38414</v>
      </c>
      <c r="I4" s="15">
        <v>8655.2001130000008</v>
      </c>
      <c r="J4" s="24">
        <v>2600.1448209999999</v>
      </c>
      <c r="K4" s="15">
        <v>38694</v>
      </c>
      <c r="L4" s="15">
        <v>9711.4423889999998</v>
      </c>
      <c r="M4" s="24">
        <v>2917.3455490000001</v>
      </c>
      <c r="N4" s="15">
        <v>26545</v>
      </c>
      <c r="O4" s="15">
        <v>7357.0676380000004</v>
      </c>
      <c r="P4" s="24">
        <v>2029.4574500000001</v>
      </c>
    </row>
    <row r="5" spans="2:16" ht="13.35" customHeight="1" x14ac:dyDescent="0.2">
      <c r="B5" s="48"/>
      <c r="C5" s="213" t="s">
        <v>419</v>
      </c>
      <c r="D5" s="338"/>
      <c r="E5" s="15">
        <v>14205</v>
      </c>
      <c r="F5" s="15">
        <v>-1804.9539480000001</v>
      </c>
      <c r="G5" s="24">
        <v>370.58410300000003</v>
      </c>
      <c r="H5" s="15">
        <v>13972</v>
      </c>
      <c r="I5" s="15">
        <v>-1823.1092779999999</v>
      </c>
      <c r="J5" s="24">
        <v>364.11688800000002</v>
      </c>
      <c r="K5" s="15">
        <v>13080</v>
      </c>
      <c r="L5" s="15">
        <v>-1797.953602</v>
      </c>
      <c r="M5" s="24">
        <v>401.28062399999999</v>
      </c>
      <c r="N5" s="15">
        <v>12760</v>
      </c>
      <c r="O5" s="15">
        <v>-859.88273400000003</v>
      </c>
      <c r="P5" s="24">
        <v>620.27810799999997</v>
      </c>
    </row>
    <row r="6" spans="2:16" ht="13.35" customHeight="1" x14ac:dyDescent="0.2">
      <c r="B6" s="48"/>
      <c r="C6" s="16" t="s">
        <v>131</v>
      </c>
      <c r="D6" s="338"/>
      <c r="E6" s="15">
        <v>513</v>
      </c>
      <c r="F6" s="15">
        <v>75.559736000000001</v>
      </c>
      <c r="G6" s="24">
        <v>22.986694</v>
      </c>
      <c r="H6" s="15">
        <v>505</v>
      </c>
      <c r="I6" s="15">
        <v>76.319761999999997</v>
      </c>
      <c r="J6" s="24">
        <v>22.585543999999999</v>
      </c>
      <c r="K6" s="15">
        <v>503</v>
      </c>
      <c r="L6" s="15">
        <v>76.915020999999996</v>
      </c>
      <c r="M6" s="24">
        <v>20.650093999999999</v>
      </c>
      <c r="N6" s="15">
        <v>494</v>
      </c>
      <c r="O6" s="15">
        <v>122.40786799999999</v>
      </c>
      <c r="P6" s="24">
        <v>35.269778000000002</v>
      </c>
    </row>
    <row r="7" spans="2:16" ht="13.35" customHeight="1" x14ac:dyDescent="0.2">
      <c r="B7" s="48"/>
      <c r="C7" s="16" t="s">
        <v>111</v>
      </c>
      <c r="D7" s="338"/>
      <c r="E7" s="15">
        <v>5042</v>
      </c>
      <c r="F7" s="15">
        <v>73.817741999999996</v>
      </c>
      <c r="G7" s="24">
        <v>64.603207999999995</v>
      </c>
      <c r="H7" s="15">
        <v>4959</v>
      </c>
      <c r="I7" s="15">
        <v>74.560246000000006</v>
      </c>
      <c r="J7" s="24">
        <v>63.475791000000001</v>
      </c>
      <c r="K7" s="15">
        <v>4629</v>
      </c>
      <c r="L7" s="15">
        <v>130.297617</v>
      </c>
      <c r="M7" s="24">
        <v>69.338744000000005</v>
      </c>
      <c r="N7" s="15">
        <v>3470</v>
      </c>
      <c r="O7" s="15">
        <v>126.432541</v>
      </c>
      <c r="P7" s="24">
        <v>87.234333000000007</v>
      </c>
    </row>
    <row r="8" spans="2:16" ht="13.35" customHeight="1" x14ac:dyDescent="0.2">
      <c r="B8" s="48"/>
      <c r="C8" s="16" t="s">
        <v>132</v>
      </c>
      <c r="D8" s="338"/>
      <c r="E8" s="15">
        <v>1074</v>
      </c>
      <c r="F8" s="15">
        <v>315.68083799999999</v>
      </c>
      <c r="G8" s="24">
        <v>99.567222000000001</v>
      </c>
      <c r="H8" s="15">
        <v>1056</v>
      </c>
      <c r="I8" s="15">
        <v>318.85614900000002</v>
      </c>
      <c r="J8" s="24">
        <v>97.829633999999999</v>
      </c>
      <c r="K8" s="15">
        <v>1188</v>
      </c>
      <c r="L8" s="15">
        <v>400.11616299999997</v>
      </c>
      <c r="M8" s="24">
        <v>117.417625</v>
      </c>
      <c r="N8" s="15">
        <v>1320</v>
      </c>
      <c r="O8" s="15">
        <v>476.96981699999998</v>
      </c>
      <c r="P8" s="24">
        <v>135.59695300000001</v>
      </c>
    </row>
    <row r="9" spans="2:16" ht="13.35" customHeight="1" x14ac:dyDescent="0.2">
      <c r="B9" s="48"/>
      <c r="C9" s="16" t="s">
        <v>112</v>
      </c>
      <c r="D9" s="338"/>
      <c r="E9" s="15">
        <v>927</v>
      </c>
      <c r="F9" s="15">
        <v>111.14720800000001</v>
      </c>
      <c r="G9" s="24">
        <v>29.495038999999998</v>
      </c>
      <c r="H9" s="15">
        <v>912</v>
      </c>
      <c r="I9" s="15">
        <v>112.26519500000001</v>
      </c>
      <c r="J9" s="24">
        <v>28.980308999999998</v>
      </c>
      <c r="K9" s="15">
        <v>826</v>
      </c>
      <c r="L9" s="15">
        <v>132.97381999999999</v>
      </c>
      <c r="M9" s="24">
        <v>33.816983</v>
      </c>
      <c r="N9" s="15">
        <v>753</v>
      </c>
      <c r="O9" s="15">
        <v>138.05125899999999</v>
      </c>
      <c r="P9" s="24">
        <v>33.077540999999997</v>
      </c>
    </row>
    <row r="10" spans="2:16" s="50" customFormat="1" ht="13.35" customHeight="1" x14ac:dyDescent="0.2">
      <c r="B10" s="48"/>
      <c r="C10" s="16" t="s">
        <v>133</v>
      </c>
      <c r="D10" s="338"/>
      <c r="E10" s="15">
        <v>368</v>
      </c>
      <c r="F10" s="15">
        <v>110.05407700000001</v>
      </c>
      <c r="G10" s="24">
        <v>32.121389000000001</v>
      </c>
      <c r="H10" s="15">
        <v>362</v>
      </c>
      <c r="I10" s="15">
        <v>111.161068</v>
      </c>
      <c r="J10" s="24">
        <v>31.560825999999999</v>
      </c>
      <c r="K10" s="15">
        <v>365</v>
      </c>
      <c r="L10" s="15">
        <v>132.98243500000001</v>
      </c>
      <c r="M10" s="24">
        <v>37.191842000000001</v>
      </c>
      <c r="N10" s="15">
        <v>455</v>
      </c>
      <c r="O10" s="15">
        <v>227.322734</v>
      </c>
      <c r="P10" s="24">
        <v>67.436131000000003</v>
      </c>
    </row>
    <row r="11" spans="2:16" s="1" customFormat="1" ht="13.35" customHeight="1" x14ac:dyDescent="0.2">
      <c r="B11" s="26"/>
      <c r="C11" s="16" t="s">
        <v>5</v>
      </c>
      <c r="D11" s="338"/>
      <c r="E11" s="15">
        <v>11070</v>
      </c>
      <c r="F11" s="15">
        <v>1210.6094450000001</v>
      </c>
      <c r="G11" s="24">
        <v>360.60208999999998</v>
      </c>
      <c r="H11" s="15">
        <v>10888</v>
      </c>
      <c r="I11" s="15">
        <v>1222.7864939999999</v>
      </c>
      <c r="J11" s="24">
        <v>354.309076</v>
      </c>
      <c r="K11" s="15">
        <v>9866</v>
      </c>
      <c r="L11" s="15">
        <v>1328.559514</v>
      </c>
      <c r="M11" s="24">
        <v>357.18619000000001</v>
      </c>
      <c r="N11" s="15">
        <v>7576</v>
      </c>
      <c r="O11" s="15">
        <v>1553.751982</v>
      </c>
      <c r="P11" s="24">
        <v>417.92240500000003</v>
      </c>
    </row>
    <row r="12" spans="2:16" s="1" customFormat="1" ht="13.35" customHeight="1" x14ac:dyDescent="0.2">
      <c r="B12" s="26"/>
      <c r="C12" s="16" t="s">
        <v>113</v>
      </c>
      <c r="D12" s="338"/>
      <c r="E12" s="15">
        <v>7601</v>
      </c>
      <c r="F12" s="15">
        <v>1579.410433</v>
      </c>
      <c r="G12" s="24">
        <v>397.187004</v>
      </c>
      <c r="H12" s="15">
        <v>7476</v>
      </c>
      <c r="I12" s="15">
        <v>1595.297108</v>
      </c>
      <c r="J12" s="24">
        <v>390.25553100000002</v>
      </c>
      <c r="K12" s="15">
        <v>7343</v>
      </c>
      <c r="L12" s="15">
        <v>1676.9999680000001</v>
      </c>
      <c r="M12" s="24">
        <v>408.14779700000003</v>
      </c>
      <c r="N12" s="15">
        <v>8054</v>
      </c>
      <c r="O12" s="15">
        <v>2088.3777879999998</v>
      </c>
      <c r="P12" s="24">
        <v>511.12291599999998</v>
      </c>
    </row>
    <row r="13" spans="2:16" s="1" customFormat="1" ht="13.35" customHeight="1" x14ac:dyDescent="0.2">
      <c r="B13" s="26"/>
      <c r="C13" s="27" t="s">
        <v>134</v>
      </c>
      <c r="D13" s="312"/>
      <c r="E13" s="15">
        <v>928</v>
      </c>
      <c r="F13" s="15">
        <v>181.37628000000001</v>
      </c>
      <c r="G13" s="24">
        <v>50.878934999999998</v>
      </c>
      <c r="H13" s="15">
        <v>913</v>
      </c>
      <c r="I13" s="15">
        <v>183.20067299999999</v>
      </c>
      <c r="J13" s="24">
        <v>49.991025999999998</v>
      </c>
      <c r="K13" s="15">
        <v>887</v>
      </c>
      <c r="L13" s="15">
        <v>252.54075</v>
      </c>
      <c r="M13" s="24">
        <v>71.280600000000007</v>
      </c>
      <c r="N13" s="15">
        <v>801</v>
      </c>
      <c r="O13" s="15">
        <v>232.69443899999999</v>
      </c>
      <c r="P13" s="24">
        <v>66.553882999999999</v>
      </c>
    </row>
    <row r="14" spans="2:16" s="1" customFormat="1" ht="13.35" customHeight="1" x14ac:dyDescent="0.2">
      <c r="B14" s="26"/>
      <c r="C14" s="27" t="s">
        <v>135</v>
      </c>
      <c r="D14" s="312"/>
      <c r="E14" s="15">
        <v>84566</v>
      </c>
      <c r="F14" s="15">
        <v>16695.55315</v>
      </c>
      <c r="G14" s="24">
        <v>5395.2354850000002</v>
      </c>
      <c r="H14" s="15">
        <v>83179</v>
      </c>
      <c r="I14" s="15">
        <v>16863.487223</v>
      </c>
      <c r="J14" s="24">
        <v>5301.0810250000004</v>
      </c>
      <c r="K14" s="15">
        <v>88460</v>
      </c>
      <c r="L14" s="15">
        <v>20204.982523999999</v>
      </c>
      <c r="M14" s="24">
        <v>6241.6499970000004</v>
      </c>
      <c r="N14" s="15">
        <v>86785</v>
      </c>
      <c r="O14" s="15">
        <v>21357.804760999999</v>
      </c>
      <c r="P14" s="24">
        <v>6566.0942279999999</v>
      </c>
    </row>
    <row r="15" spans="2:16" customFormat="1" ht="13.35" customHeight="1" x14ac:dyDescent="0.2">
      <c r="B15" s="26"/>
      <c r="C15" s="27" t="s">
        <v>114</v>
      </c>
      <c r="D15" s="312"/>
      <c r="E15" s="15">
        <v>1893</v>
      </c>
      <c r="F15" s="15">
        <v>274.46909599999998</v>
      </c>
      <c r="G15" s="24">
        <v>88.399141999999998</v>
      </c>
      <c r="H15" s="15">
        <v>1862</v>
      </c>
      <c r="I15" s="15">
        <v>277.229874</v>
      </c>
      <c r="J15" s="24">
        <v>86.856452000000004</v>
      </c>
      <c r="K15" s="15">
        <v>1763</v>
      </c>
      <c r="L15" s="15">
        <v>319.02456100000001</v>
      </c>
      <c r="M15" s="24">
        <v>100.06299199999999</v>
      </c>
      <c r="N15" s="15">
        <v>1841</v>
      </c>
      <c r="O15" s="15">
        <v>579.28194099999996</v>
      </c>
      <c r="P15" s="24">
        <v>176.36592400000001</v>
      </c>
    </row>
    <row r="16" spans="2:16" customFormat="1" ht="13.35" customHeight="1" x14ac:dyDescent="0.2">
      <c r="B16" s="26"/>
      <c r="C16" s="27" t="s">
        <v>424</v>
      </c>
      <c r="D16" s="312"/>
      <c r="E16" s="15">
        <v>113</v>
      </c>
      <c r="F16" s="15">
        <v>7.7775470000000002</v>
      </c>
      <c r="G16" s="24">
        <v>1.456386</v>
      </c>
      <c r="H16" s="15">
        <v>111</v>
      </c>
      <c r="I16" s="15">
        <v>7.8557779999999999</v>
      </c>
      <c r="J16" s="24">
        <v>1.4309700000000001</v>
      </c>
      <c r="K16" s="15">
        <v>87</v>
      </c>
      <c r="L16" s="15">
        <v>8.8614820000000005</v>
      </c>
      <c r="M16" s="24">
        <v>2.306181</v>
      </c>
      <c r="N16" s="15">
        <v>108</v>
      </c>
      <c r="O16" s="15">
        <v>27.450543</v>
      </c>
      <c r="P16" s="24">
        <v>7.0489579999999998</v>
      </c>
    </row>
    <row r="17" spans="2:16" customFormat="1" ht="13.35" customHeight="1" x14ac:dyDescent="0.2">
      <c r="B17" s="26"/>
      <c r="C17" s="27" t="s">
        <v>115</v>
      </c>
      <c r="D17" s="312"/>
      <c r="E17" s="15">
        <v>70</v>
      </c>
      <c r="F17" s="15">
        <v>6.2542900000000001</v>
      </c>
      <c r="G17" s="24">
        <v>1.627111</v>
      </c>
      <c r="H17" s="15">
        <v>69</v>
      </c>
      <c r="I17" s="15">
        <v>6.3171989999999996</v>
      </c>
      <c r="J17" s="24">
        <v>1.598716</v>
      </c>
      <c r="K17" s="15">
        <v>55</v>
      </c>
      <c r="L17" s="15">
        <v>5.2360670000000002</v>
      </c>
      <c r="M17" s="24">
        <v>1.5059419999999999</v>
      </c>
      <c r="N17" s="15">
        <v>5</v>
      </c>
      <c r="O17" s="15">
        <v>1.9567209999999999</v>
      </c>
      <c r="P17" s="24">
        <v>0.66139599999999998</v>
      </c>
    </row>
    <row r="18" spans="2:16" customFormat="1" ht="13.35" customHeight="1" x14ac:dyDescent="0.2">
      <c r="B18" s="26"/>
      <c r="C18" s="27" t="s">
        <v>116</v>
      </c>
      <c r="D18" s="312"/>
      <c r="E18" s="15">
        <v>1931</v>
      </c>
      <c r="F18" s="15">
        <v>337.00667600000003</v>
      </c>
      <c r="G18" s="24">
        <v>106.80175</v>
      </c>
      <c r="H18" s="15">
        <v>1899</v>
      </c>
      <c r="I18" s="15">
        <v>340.39649500000002</v>
      </c>
      <c r="J18" s="24">
        <v>104.937909</v>
      </c>
      <c r="K18" s="15">
        <v>1905</v>
      </c>
      <c r="L18" s="15">
        <v>409.11543699999999</v>
      </c>
      <c r="M18" s="24">
        <v>114.399923</v>
      </c>
      <c r="N18" s="15">
        <v>1878</v>
      </c>
      <c r="O18" s="15">
        <v>666.30361000000005</v>
      </c>
      <c r="P18" s="24">
        <v>197.411328</v>
      </c>
    </row>
    <row r="19" spans="2:16" customFormat="1" ht="13.35" customHeight="1" x14ac:dyDescent="0.2">
      <c r="B19" s="26"/>
      <c r="C19" s="27" t="s">
        <v>136</v>
      </c>
      <c r="D19" s="312"/>
      <c r="E19" s="15">
        <v>10601</v>
      </c>
      <c r="F19" s="15">
        <v>3519.0696670000002</v>
      </c>
      <c r="G19" s="24">
        <v>1039.340187</v>
      </c>
      <c r="H19" s="15">
        <v>10427</v>
      </c>
      <c r="I19" s="15">
        <v>3554.4666200000001</v>
      </c>
      <c r="J19" s="24">
        <v>1021.202237</v>
      </c>
      <c r="K19" s="15">
        <v>10778</v>
      </c>
      <c r="L19" s="15">
        <v>4002.138027</v>
      </c>
      <c r="M19" s="24">
        <v>1188.773878</v>
      </c>
      <c r="N19" s="15">
        <v>10360</v>
      </c>
      <c r="O19" s="15">
        <v>4653.821038</v>
      </c>
      <c r="P19" s="24">
        <v>1373.8989140000001</v>
      </c>
    </row>
    <row r="20" spans="2:16" customFormat="1" ht="13.35" customHeight="1" x14ac:dyDescent="0.2">
      <c r="B20" s="26"/>
      <c r="C20" s="27" t="s">
        <v>6</v>
      </c>
      <c r="D20" s="312"/>
      <c r="E20" s="15">
        <v>1718</v>
      </c>
      <c r="F20" s="15">
        <v>356.835869</v>
      </c>
      <c r="G20" s="24">
        <v>115.6644</v>
      </c>
      <c r="H20" s="15">
        <v>1690</v>
      </c>
      <c r="I20" s="15">
        <v>360.42514199999999</v>
      </c>
      <c r="J20" s="24">
        <v>113.645893</v>
      </c>
      <c r="K20" s="15">
        <v>1700</v>
      </c>
      <c r="L20" s="15">
        <v>380.32025499999997</v>
      </c>
      <c r="M20" s="24">
        <v>110.341781</v>
      </c>
      <c r="N20" s="15">
        <v>1719</v>
      </c>
      <c r="O20" s="15">
        <v>581.57898499999999</v>
      </c>
      <c r="P20" s="24">
        <v>160.868031</v>
      </c>
    </row>
    <row r="21" spans="2:16" customFormat="1" ht="13.35" customHeight="1" x14ac:dyDescent="0.2">
      <c r="B21" s="26"/>
      <c r="C21" s="27" t="s">
        <v>117</v>
      </c>
      <c r="D21" s="312"/>
      <c r="E21" s="15">
        <v>1946</v>
      </c>
      <c r="F21" s="15">
        <v>941.06203900000003</v>
      </c>
      <c r="G21" s="24">
        <v>310.51325600000001</v>
      </c>
      <c r="H21" s="15">
        <v>1914</v>
      </c>
      <c r="I21" s="15">
        <v>950.52781600000003</v>
      </c>
      <c r="J21" s="24">
        <v>305.09436199999999</v>
      </c>
      <c r="K21" s="15">
        <v>1867</v>
      </c>
      <c r="L21" s="15">
        <v>1148.9455230000001</v>
      </c>
      <c r="M21" s="24">
        <v>383.62238000000002</v>
      </c>
      <c r="N21" s="15">
        <v>2431</v>
      </c>
      <c r="O21" s="15">
        <v>1549.3150740000001</v>
      </c>
      <c r="P21" s="24">
        <v>499.76960300000002</v>
      </c>
    </row>
    <row r="22" spans="2:16" customFormat="1" ht="13.35" customHeight="1" x14ac:dyDescent="0.2">
      <c r="B22" s="26"/>
      <c r="C22" s="27" t="s">
        <v>118</v>
      </c>
      <c r="D22" s="312"/>
      <c r="E22" s="15">
        <v>1271</v>
      </c>
      <c r="F22" s="15">
        <v>128.12271799999999</v>
      </c>
      <c r="G22" s="24">
        <v>31.737248000000001</v>
      </c>
      <c r="H22" s="15">
        <v>1250</v>
      </c>
      <c r="I22" s="15">
        <v>129.41145499999999</v>
      </c>
      <c r="J22" s="24">
        <v>31.183388000000001</v>
      </c>
      <c r="K22" s="15">
        <v>1168</v>
      </c>
      <c r="L22" s="15">
        <v>138.25950499999999</v>
      </c>
      <c r="M22" s="24">
        <v>34.941293000000002</v>
      </c>
      <c r="N22" s="15">
        <v>1437</v>
      </c>
      <c r="O22" s="15">
        <v>366.54335900000001</v>
      </c>
      <c r="P22" s="24">
        <v>97.799959000000001</v>
      </c>
    </row>
    <row r="23" spans="2:16" customFormat="1" ht="13.35" customHeight="1" x14ac:dyDescent="0.2">
      <c r="B23" s="26"/>
      <c r="C23" s="27" t="s">
        <v>119</v>
      </c>
      <c r="D23" s="312"/>
      <c r="E23" s="15">
        <v>1348</v>
      </c>
      <c r="F23" s="15">
        <v>193.937198</v>
      </c>
      <c r="G23" s="24">
        <v>45.767952999999999</v>
      </c>
      <c r="H23" s="15">
        <v>1326</v>
      </c>
      <c r="I23" s="15">
        <v>195.88793699999999</v>
      </c>
      <c r="J23" s="24">
        <v>44.969237999999997</v>
      </c>
      <c r="K23" s="15">
        <v>1373</v>
      </c>
      <c r="L23" s="15">
        <v>231.64182500000001</v>
      </c>
      <c r="M23" s="24">
        <v>54.420178999999997</v>
      </c>
      <c r="N23" s="15">
        <v>1848</v>
      </c>
      <c r="O23" s="15">
        <v>431.59356200000002</v>
      </c>
      <c r="P23" s="24">
        <v>104.33672</v>
      </c>
    </row>
    <row r="24" spans="2:16" customFormat="1" ht="13.35" customHeight="1" x14ac:dyDescent="0.2">
      <c r="B24" s="26"/>
      <c r="C24" s="27" t="s">
        <v>120</v>
      </c>
      <c r="D24" s="312"/>
      <c r="E24" s="15">
        <v>6273</v>
      </c>
      <c r="F24" s="15">
        <v>305.09176000000002</v>
      </c>
      <c r="G24" s="24">
        <v>39.366914000000001</v>
      </c>
      <c r="H24" s="15">
        <v>6170</v>
      </c>
      <c r="I24" s="15">
        <v>308.16055899999998</v>
      </c>
      <c r="J24" s="24">
        <v>38.679906000000003</v>
      </c>
      <c r="K24" s="15">
        <v>5560</v>
      </c>
      <c r="L24" s="15">
        <v>308.02638899999999</v>
      </c>
      <c r="M24" s="24">
        <v>38.950741999999998</v>
      </c>
      <c r="N24" s="15">
        <v>4372</v>
      </c>
      <c r="O24" s="15">
        <v>301.13082000000003</v>
      </c>
      <c r="P24" s="24">
        <v>38.802684999999997</v>
      </c>
    </row>
    <row r="25" spans="2:16" customFormat="1" ht="13.35" customHeight="1" x14ac:dyDescent="0.2">
      <c r="B25" s="26"/>
      <c r="C25" s="27" t="s">
        <v>415</v>
      </c>
      <c r="D25" s="312"/>
      <c r="E25" s="15">
        <v>6344</v>
      </c>
      <c r="F25" s="15">
        <v>1684.8444950000001</v>
      </c>
      <c r="G25" s="24">
        <v>427.68043799999998</v>
      </c>
      <c r="H25" s="15">
        <v>6240</v>
      </c>
      <c r="I25" s="15">
        <v>1701.79169</v>
      </c>
      <c r="J25" s="24">
        <v>420.216812</v>
      </c>
      <c r="K25" s="15">
        <v>6863</v>
      </c>
      <c r="L25" s="15">
        <v>2118.378917</v>
      </c>
      <c r="M25" s="24">
        <v>540.59019999999998</v>
      </c>
      <c r="N25" s="15">
        <v>11963</v>
      </c>
      <c r="O25" s="15">
        <v>3873.7182550000002</v>
      </c>
      <c r="P25" s="24">
        <v>989.68684900000005</v>
      </c>
    </row>
    <row r="26" spans="2:16" customFormat="1" ht="13.35" customHeight="1" x14ac:dyDescent="0.2">
      <c r="B26" s="26"/>
      <c r="C26" s="27" t="s">
        <v>137</v>
      </c>
      <c r="D26" s="312"/>
      <c r="E26" s="15">
        <v>4488</v>
      </c>
      <c r="F26" s="15">
        <v>885.59418300000004</v>
      </c>
      <c r="G26" s="24">
        <v>167.43787</v>
      </c>
      <c r="H26" s="15">
        <v>4414</v>
      </c>
      <c r="I26" s="15">
        <v>894.50202999999999</v>
      </c>
      <c r="J26" s="24">
        <v>164.51584299999999</v>
      </c>
      <c r="K26" s="15">
        <v>5080</v>
      </c>
      <c r="L26" s="15">
        <v>1192.6763149999999</v>
      </c>
      <c r="M26" s="24">
        <v>221.44449900000001</v>
      </c>
      <c r="N26" s="15">
        <v>4423</v>
      </c>
      <c r="O26" s="15">
        <v>980.00345900000002</v>
      </c>
      <c r="P26" s="24">
        <v>207.88376099999999</v>
      </c>
    </row>
    <row r="27" spans="2:16" customFormat="1" ht="13.35" customHeight="1" x14ac:dyDescent="0.2">
      <c r="B27" s="26"/>
      <c r="C27" s="27" t="s">
        <v>121</v>
      </c>
      <c r="D27" s="312"/>
      <c r="E27" s="15">
        <v>597</v>
      </c>
      <c r="F27" s="15">
        <v>97.950575000000001</v>
      </c>
      <c r="G27" s="24">
        <v>24.592670999999999</v>
      </c>
      <c r="H27" s="15">
        <v>587</v>
      </c>
      <c r="I27" s="15">
        <v>98.935822000000002</v>
      </c>
      <c r="J27" s="24">
        <v>24.163494</v>
      </c>
      <c r="K27" s="15">
        <v>543</v>
      </c>
      <c r="L27" s="15">
        <v>115.16321600000001</v>
      </c>
      <c r="M27" s="24">
        <v>30.862915000000001</v>
      </c>
      <c r="N27" s="15">
        <v>648</v>
      </c>
      <c r="O27" s="15">
        <v>207.87802400000001</v>
      </c>
      <c r="P27" s="24">
        <v>59.861463000000001</v>
      </c>
    </row>
    <row r="28" spans="2:16" customFormat="1" ht="13.35" customHeight="1" x14ac:dyDescent="0.2">
      <c r="B28" s="26"/>
      <c r="C28" s="27" t="s">
        <v>122</v>
      </c>
      <c r="D28" s="312"/>
      <c r="E28" s="15">
        <v>54702</v>
      </c>
      <c r="F28" s="15">
        <v>5501.2635440000004</v>
      </c>
      <c r="G28" s="24">
        <v>1690.7910609999999</v>
      </c>
      <c r="H28" s="15">
        <v>53805</v>
      </c>
      <c r="I28" s="15">
        <v>5556.5986140000005</v>
      </c>
      <c r="J28" s="24">
        <v>1661.284375</v>
      </c>
      <c r="K28" s="15">
        <v>41862</v>
      </c>
      <c r="L28" s="15">
        <v>4138.8133049999997</v>
      </c>
      <c r="M28" s="24">
        <v>1221.7281230000001</v>
      </c>
      <c r="N28" s="15">
        <v>21865</v>
      </c>
      <c r="O28" s="15">
        <v>2475.393595</v>
      </c>
      <c r="P28" s="24">
        <v>652.374054</v>
      </c>
    </row>
    <row r="29" spans="2:16" customFormat="1" ht="13.35" customHeight="1" x14ac:dyDescent="0.2">
      <c r="B29" s="26"/>
      <c r="C29" s="27" t="s">
        <v>123</v>
      </c>
      <c r="D29" s="312"/>
      <c r="E29" s="15">
        <v>175</v>
      </c>
      <c r="F29" s="15">
        <v>46.057138000000002</v>
      </c>
      <c r="G29" s="24">
        <v>12.609069999999999</v>
      </c>
      <c r="H29" s="15">
        <v>172</v>
      </c>
      <c r="I29" s="15">
        <v>46.520409000000001</v>
      </c>
      <c r="J29" s="24">
        <v>12.389023999999999</v>
      </c>
      <c r="K29" s="15">
        <v>171</v>
      </c>
      <c r="L29" s="15">
        <v>44.102648000000002</v>
      </c>
      <c r="M29" s="24">
        <v>11.218756000000001</v>
      </c>
      <c r="N29" s="15">
        <v>205</v>
      </c>
      <c r="O29" s="15">
        <v>77.446783999999994</v>
      </c>
      <c r="P29" s="24">
        <v>21.884592000000001</v>
      </c>
    </row>
    <row r="30" spans="2:16" customFormat="1" ht="13.35" customHeight="1" x14ac:dyDescent="0.2">
      <c r="B30" s="26"/>
      <c r="C30" s="27" t="s">
        <v>124</v>
      </c>
      <c r="D30" s="312"/>
      <c r="E30" s="15">
        <v>1580</v>
      </c>
      <c r="F30" s="15">
        <v>259.22931299999999</v>
      </c>
      <c r="G30" s="24">
        <v>70.622951999999998</v>
      </c>
      <c r="H30" s="15">
        <v>1554</v>
      </c>
      <c r="I30" s="15">
        <v>261.83679999999998</v>
      </c>
      <c r="J30" s="24">
        <v>69.390482000000006</v>
      </c>
      <c r="K30" s="15">
        <v>1716</v>
      </c>
      <c r="L30" s="15">
        <v>244.023877</v>
      </c>
      <c r="M30" s="24">
        <v>80.590843000000007</v>
      </c>
      <c r="N30" s="15">
        <v>1805</v>
      </c>
      <c r="O30" s="15">
        <v>370.032374</v>
      </c>
      <c r="P30" s="24">
        <v>92.761032999999998</v>
      </c>
    </row>
    <row r="31" spans="2:16" customFormat="1" ht="13.35" customHeight="1" x14ac:dyDescent="0.2">
      <c r="B31" s="26"/>
      <c r="C31" s="27" t="s">
        <v>130</v>
      </c>
      <c r="D31" s="312"/>
      <c r="E31" s="15">
        <v>2705</v>
      </c>
      <c r="F31" s="15">
        <v>204.48231999999999</v>
      </c>
      <c r="G31" s="24">
        <v>46.495111000000001</v>
      </c>
      <c r="H31" s="15">
        <v>2661</v>
      </c>
      <c r="I31" s="15">
        <v>206.53912800000001</v>
      </c>
      <c r="J31" s="24">
        <v>45.683706000000001</v>
      </c>
      <c r="K31" s="15">
        <v>2407</v>
      </c>
      <c r="L31" s="15">
        <v>244.18146999999999</v>
      </c>
      <c r="M31" s="24">
        <v>56.380099999999999</v>
      </c>
      <c r="N31" s="15">
        <v>1867</v>
      </c>
      <c r="O31" s="15">
        <v>-1362.017535</v>
      </c>
      <c r="P31" s="24">
        <v>60.509728000000003</v>
      </c>
    </row>
    <row r="32" spans="2:16" customFormat="1" ht="13.35" customHeight="1" x14ac:dyDescent="0.2">
      <c r="B32" s="26"/>
      <c r="C32" s="27" t="s">
        <v>7</v>
      </c>
      <c r="D32" s="312"/>
      <c r="E32" s="15">
        <v>408</v>
      </c>
      <c r="F32" s="15">
        <v>54.965152000000003</v>
      </c>
      <c r="G32" s="24">
        <v>13.154998000000001</v>
      </c>
      <c r="H32" s="15">
        <v>401</v>
      </c>
      <c r="I32" s="15">
        <v>55.518025000000002</v>
      </c>
      <c r="J32" s="24">
        <v>12.925425000000001</v>
      </c>
      <c r="K32" s="15">
        <v>390</v>
      </c>
      <c r="L32" s="15">
        <v>57.967432000000002</v>
      </c>
      <c r="M32" s="24">
        <v>14.940234</v>
      </c>
      <c r="N32" s="15">
        <v>385</v>
      </c>
      <c r="O32" s="15">
        <v>70.179353000000006</v>
      </c>
      <c r="P32" s="24">
        <v>16.125105000000001</v>
      </c>
    </row>
    <row r="33" spans="2:16" customFormat="1" ht="13.35" customHeight="1" x14ac:dyDescent="0.2">
      <c r="B33" s="26"/>
      <c r="C33" s="27" t="s">
        <v>125</v>
      </c>
      <c r="D33" s="312"/>
      <c r="E33" s="15">
        <v>684</v>
      </c>
      <c r="F33" s="15">
        <v>-40.596792999999998</v>
      </c>
      <c r="G33" s="24">
        <v>2.6294420000000001</v>
      </c>
      <c r="H33" s="15">
        <v>673</v>
      </c>
      <c r="I33" s="15">
        <v>-41.005139999999997</v>
      </c>
      <c r="J33" s="24">
        <v>2.583555</v>
      </c>
      <c r="K33" s="15">
        <v>554</v>
      </c>
      <c r="L33" s="15">
        <v>-28.049555999999999</v>
      </c>
      <c r="M33" s="24">
        <v>2.9436140000000002</v>
      </c>
      <c r="N33" s="15">
        <v>558</v>
      </c>
      <c r="O33" s="15">
        <v>80.809361999999993</v>
      </c>
      <c r="P33" s="24">
        <v>25.220293999999999</v>
      </c>
    </row>
    <row r="34" spans="2:16" customFormat="1" ht="13.35" customHeight="1" x14ac:dyDescent="0.2">
      <c r="B34" s="26"/>
      <c r="C34" s="27" t="s">
        <v>126</v>
      </c>
      <c r="D34" s="312"/>
      <c r="E34" s="15">
        <v>16625</v>
      </c>
      <c r="F34" s="15">
        <v>1065.188952</v>
      </c>
      <c r="G34" s="24">
        <v>358.80350199999998</v>
      </c>
      <c r="H34" s="15">
        <v>16352</v>
      </c>
      <c r="I34" s="15">
        <v>1075.9032729999999</v>
      </c>
      <c r="J34" s="24">
        <v>352.541875</v>
      </c>
      <c r="K34" s="15">
        <v>15135</v>
      </c>
      <c r="L34" s="15">
        <v>1380.4280510000001</v>
      </c>
      <c r="M34" s="24">
        <v>410.79456699999997</v>
      </c>
      <c r="N34" s="15">
        <v>10246</v>
      </c>
      <c r="O34" s="15">
        <v>1680.1114669999999</v>
      </c>
      <c r="P34" s="24">
        <v>468.24109299999998</v>
      </c>
    </row>
    <row r="35" spans="2:16" customFormat="1" ht="13.35" customHeight="1" x14ac:dyDescent="0.2">
      <c r="B35" s="26"/>
      <c r="C35" s="27" t="s">
        <v>138</v>
      </c>
      <c r="D35" s="312"/>
      <c r="E35" s="15">
        <v>2691</v>
      </c>
      <c r="F35" s="15">
        <v>321.96666099999999</v>
      </c>
      <c r="G35" s="24">
        <v>91.797656000000003</v>
      </c>
      <c r="H35" s="15">
        <v>2647</v>
      </c>
      <c r="I35" s="15">
        <v>325.205198</v>
      </c>
      <c r="J35" s="24">
        <v>90.195657999999995</v>
      </c>
      <c r="K35" s="15">
        <v>2489</v>
      </c>
      <c r="L35" s="15">
        <v>353.41176899999999</v>
      </c>
      <c r="M35" s="24">
        <v>102.24923200000001</v>
      </c>
      <c r="N35" s="15">
        <v>2424</v>
      </c>
      <c r="O35" s="15">
        <v>546.25087399999995</v>
      </c>
      <c r="P35" s="24">
        <v>149.834236</v>
      </c>
    </row>
    <row r="36" spans="2:16" customFormat="1" ht="13.35" customHeight="1" x14ac:dyDescent="0.2">
      <c r="B36" s="26"/>
      <c r="C36" s="27" t="s">
        <v>127</v>
      </c>
      <c r="D36" s="312"/>
      <c r="E36" s="15">
        <v>5927</v>
      </c>
      <c r="F36" s="15">
        <v>1080.8272810000001</v>
      </c>
      <c r="G36" s="24">
        <v>306.56855000000002</v>
      </c>
      <c r="H36" s="15">
        <v>5830</v>
      </c>
      <c r="I36" s="15">
        <v>1091.6989020000001</v>
      </c>
      <c r="J36" s="24">
        <v>301.21849700000001</v>
      </c>
      <c r="K36" s="15">
        <v>5884</v>
      </c>
      <c r="L36" s="15">
        <v>1224.8007250000001</v>
      </c>
      <c r="M36" s="24">
        <v>339.33053000000001</v>
      </c>
      <c r="N36" s="15">
        <v>5112</v>
      </c>
      <c r="O36" s="15">
        <v>1510.1623030000001</v>
      </c>
      <c r="P36" s="24">
        <v>441.99023499999998</v>
      </c>
    </row>
    <row r="37" spans="2:16" customFormat="1" ht="13.35" customHeight="1" x14ac:dyDescent="0.2">
      <c r="B37" s="26"/>
      <c r="C37" s="27" t="s">
        <v>139</v>
      </c>
      <c r="D37" s="312"/>
      <c r="E37" s="15">
        <v>1038</v>
      </c>
      <c r="F37" s="15">
        <v>81.438920999999993</v>
      </c>
      <c r="G37" s="24">
        <v>24.972342999999999</v>
      </c>
      <c r="H37" s="15">
        <v>1021</v>
      </c>
      <c r="I37" s="15">
        <v>82.258082999999999</v>
      </c>
      <c r="J37" s="24">
        <v>24.536539999999999</v>
      </c>
      <c r="K37" s="15">
        <v>975</v>
      </c>
      <c r="L37" s="15">
        <v>113.608304</v>
      </c>
      <c r="M37" s="24">
        <v>29.787134999999999</v>
      </c>
      <c r="N37" s="15">
        <v>926</v>
      </c>
      <c r="O37" s="15">
        <v>136.677751</v>
      </c>
      <c r="P37" s="24">
        <v>32.449838</v>
      </c>
    </row>
    <row r="38" spans="2:16" customFormat="1" ht="13.35" customHeight="1" x14ac:dyDescent="0.2">
      <c r="B38" s="525"/>
      <c r="C38" s="353" t="s">
        <v>343</v>
      </c>
      <c r="D38" s="528"/>
      <c r="E38" s="549">
        <f t="shared" ref="E38:P38" si="0">E60</f>
        <v>42865</v>
      </c>
      <c r="F38" s="549">
        <f t="shared" si="0"/>
        <v>2070.6682779999974</v>
      </c>
      <c r="G38" s="550">
        <f t="shared" si="0"/>
        <v>1435.1751220000024</v>
      </c>
      <c r="H38" s="549">
        <f t="shared" si="0"/>
        <v>42163</v>
      </c>
      <c r="I38" s="549">
        <f t="shared" si="0"/>
        <v>2091.496326</v>
      </c>
      <c r="J38" s="550">
        <f t="shared" si="0"/>
        <v>1410.129293</v>
      </c>
      <c r="K38" s="549">
        <f t="shared" si="0"/>
        <v>44672</v>
      </c>
      <c r="L38" s="549">
        <f t="shared" si="0"/>
        <v>2729.7124739999999</v>
      </c>
      <c r="M38" s="550">
        <f t="shared" si="0"/>
        <v>1587.7935629999999</v>
      </c>
      <c r="N38" s="549">
        <f t="shared" si="0"/>
        <v>52037</v>
      </c>
      <c r="O38" s="549">
        <f t="shared" si="0"/>
        <v>3146.7505740000001</v>
      </c>
      <c r="P38" s="550">
        <f t="shared" si="0"/>
        <v>1856.0241720000001</v>
      </c>
    </row>
    <row r="39" spans="2:16" customFormat="1" ht="13.35" customHeight="1" x14ac:dyDescent="0.2">
      <c r="B39" s="525"/>
      <c r="C39" s="501" t="s">
        <v>8</v>
      </c>
      <c r="D39" s="529"/>
      <c r="E39" s="345">
        <f t="shared" ref="E39:P39" si="1">SUM(E4:E38)</f>
        <v>333342</v>
      </c>
      <c r="F39" s="345">
        <f t="shared" si="1"/>
        <v>46500.769638000005</v>
      </c>
      <c r="G39" s="346">
        <f t="shared" si="1"/>
        <v>15923.593256000004</v>
      </c>
      <c r="H39" s="345">
        <f t="shared" si="1"/>
        <v>327874</v>
      </c>
      <c r="I39" s="345">
        <f t="shared" si="1"/>
        <v>46968.502787999998</v>
      </c>
      <c r="J39" s="346">
        <f t="shared" si="1"/>
        <v>15645.704120999999</v>
      </c>
      <c r="K39" s="345">
        <f t="shared" si="1"/>
        <v>320838</v>
      </c>
      <c r="L39" s="345">
        <f t="shared" si="1"/>
        <v>53130.644617000005</v>
      </c>
      <c r="M39" s="346">
        <f t="shared" si="1"/>
        <v>17355.285647000004</v>
      </c>
      <c r="N39" s="345">
        <f t="shared" si="1"/>
        <v>289476</v>
      </c>
      <c r="O39" s="345">
        <f t="shared" si="1"/>
        <v>55773.37038600001</v>
      </c>
      <c r="P39" s="346">
        <f t="shared" si="1"/>
        <v>18301.853697000002</v>
      </c>
    </row>
    <row r="40" spans="2:16" customFormat="1" ht="13.35" customHeight="1" x14ac:dyDescent="0.2">
      <c r="B40" s="26"/>
      <c r="C40" s="27" t="s">
        <v>107</v>
      </c>
      <c r="D40" s="312"/>
      <c r="E40" s="15">
        <v>50746</v>
      </c>
      <c r="F40" s="15">
        <v>-16667.657037000001</v>
      </c>
      <c r="G40" s="24">
        <v>1.5664119999999999</v>
      </c>
      <c r="H40" s="15">
        <v>48185</v>
      </c>
      <c r="I40" s="15">
        <v>-17335.883387000002</v>
      </c>
      <c r="J40" s="24">
        <v>0.79610400000000003</v>
      </c>
      <c r="K40" s="15">
        <v>42630</v>
      </c>
      <c r="L40" s="15">
        <v>-17485.848034999999</v>
      </c>
      <c r="M40" s="24">
        <v>1.622522</v>
      </c>
      <c r="N40" s="15">
        <v>32641</v>
      </c>
      <c r="O40" s="15">
        <v>-16898.204256000001</v>
      </c>
      <c r="P40" s="24">
        <v>0.39656000000000002</v>
      </c>
    </row>
    <row r="41" spans="2:16" customFormat="1" ht="13.35" customHeight="1" x14ac:dyDescent="0.2">
      <c r="B41" s="597"/>
      <c r="C41" s="598" t="s">
        <v>105</v>
      </c>
      <c r="D41" s="605"/>
      <c r="E41" s="599">
        <f>E39-E40</f>
        <v>282596</v>
      </c>
      <c r="F41" s="599">
        <f t="shared" ref="F41:P41" si="2">F39-F40</f>
        <v>63168.42667500001</v>
      </c>
      <c r="G41" s="600">
        <f t="shared" si="2"/>
        <v>15922.026844000004</v>
      </c>
      <c r="H41" s="599">
        <f t="shared" si="2"/>
        <v>279689</v>
      </c>
      <c r="I41" s="599">
        <f t="shared" si="2"/>
        <v>64304.386175</v>
      </c>
      <c r="J41" s="600">
        <f t="shared" si="2"/>
        <v>15644.908017</v>
      </c>
      <c r="K41" s="599">
        <f t="shared" si="2"/>
        <v>278208</v>
      </c>
      <c r="L41" s="599">
        <f t="shared" si="2"/>
        <v>70616.492652000001</v>
      </c>
      <c r="M41" s="600">
        <f t="shared" si="2"/>
        <v>17353.663125000003</v>
      </c>
      <c r="N41" s="599">
        <f t="shared" si="2"/>
        <v>256835</v>
      </c>
      <c r="O41" s="599">
        <f t="shared" si="2"/>
        <v>72671.574642000007</v>
      </c>
      <c r="P41" s="600">
        <f t="shared" si="2"/>
        <v>18301.457137000001</v>
      </c>
    </row>
    <row r="42" spans="2:16" customFormat="1" ht="13.35" customHeight="1" x14ac:dyDescent="0.2">
      <c r="B42" s="597"/>
      <c r="C42" s="601" t="s">
        <v>8</v>
      </c>
      <c r="D42" s="606"/>
      <c r="E42" s="602">
        <f t="shared" ref="E42:P42" si="3">SUM(E40:E41)</f>
        <v>333342</v>
      </c>
      <c r="F42" s="602">
        <f t="shared" si="3"/>
        <v>46500.769638000012</v>
      </c>
      <c r="G42" s="603">
        <f t="shared" si="3"/>
        <v>15923.593256000004</v>
      </c>
      <c r="H42" s="602">
        <f t="shared" si="3"/>
        <v>327874</v>
      </c>
      <c r="I42" s="602">
        <f t="shared" si="3"/>
        <v>46968.502787999998</v>
      </c>
      <c r="J42" s="603">
        <f t="shared" si="3"/>
        <v>15645.704120999999</v>
      </c>
      <c r="K42" s="602">
        <f t="shared" si="3"/>
        <v>320838</v>
      </c>
      <c r="L42" s="602">
        <f t="shared" si="3"/>
        <v>53130.644616999998</v>
      </c>
      <c r="M42" s="603">
        <f t="shared" si="3"/>
        <v>17355.285647000004</v>
      </c>
      <c r="N42" s="602">
        <f t="shared" si="3"/>
        <v>289476</v>
      </c>
      <c r="O42" s="602">
        <f t="shared" si="3"/>
        <v>55773.37038600001</v>
      </c>
      <c r="P42" s="603">
        <f t="shared" si="3"/>
        <v>18301.853697000002</v>
      </c>
    </row>
    <row r="43" spans="2:16" customFormat="1" ht="13.35" customHeight="1" x14ac:dyDescent="0.2">
      <c r="B43" s="108"/>
      <c r="C43" s="110" t="s">
        <v>85</v>
      </c>
      <c r="D43" s="607"/>
      <c r="E43" s="111"/>
      <c r="F43" s="111"/>
      <c r="G43" s="112"/>
      <c r="H43" s="111"/>
      <c r="I43" s="111"/>
      <c r="J43" s="112"/>
      <c r="K43" s="111"/>
      <c r="L43" s="111"/>
      <c r="M43" s="112"/>
      <c r="N43" s="111"/>
      <c r="O43" s="111"/>
      <c r="P43" s="112"/>
    </row>
    <row r="44" spans="2:16" customFormat="1" ht="13.35" customHeight="1" x14ac:dyDescent="0.2">
      <c r="B44" s="108"/>
      <c r="C44" s="109" t="s">
        <v>107</v>
      </c>
      <c r="D44" s="607"/>
      <c r="E44" s="23">
        <f>E40/E$42</f>
        <v>0.15223404191491022</v>
      </c>
      <c r="F44" s="23"/>
      <c r="G44" s="113"/>
      <c r="H44" s="23">
        <f>H40/H$42</f>
        <v>0.14696194269749965</v>
      </c>
      <c r="I44" s="23"/>
      <c r="J44" s="113"/>
      <c r="K44" s="23">
        <f>K40/K$42</f>
        <v>0.1328707946066239</v>
      </c>
      <c r="L44" s="23"/>
      <c r="M44" s="113"/>
      <c r="N44" s="23">
        <f>N40/N$42</f>
        <v>0.1127589161104893</v>
      </c>
      <c r="O44" s="23"/>
      <c r="P44" s="113"/>
    </row>
    <row r="45" spans="2:16" customFormat="1" ht="13.35" customHeight="1" x14ac:dyDescent="0.2">
      <c r="B45" s="597"/>
      <c r="C45" s="598" t="s">
        <v>105</v>
      </c>
      <c r="D45" s="605"/>
      <c r="E45" s="560">
        <f>E41/E$42</f>
        <v>0.84776595808508981</v>
      </c>
      <c r="F45" s="560"/>
      <c r="G45" s="568"/>
      <c r="H45" s="560">
        <f>H41/H$42</f>
        <v>0.85303805730250037</v>
      </c>
      <c r="I45" s="560"/>
      <c r="J45" s="568"/>
      <c r="K45" s="560">
        <f>K41/K$42</f>
        <v>0.86712920539337612</v>
      </c>
      <c r="L45" s="560"/>
      <c r="M45" s="568"/>
      <c r="N45" s="560">
        <f>N41/N$42</f>
        <v>0.88724108388951073</v>
      </c>
      <c r="O45" s="560"/>
      <c r="P45" s="568"/>
    </row>
    <row r="46" spans="2:16" customFormat="1" ht="13.35" customHeight="1" x14ac:dyDescent="0.2">
      <c r="B46" s="597"/>
      <c r="C46" s="601" t="s">
        <v>8</v>
      </c>
      <c r="D46" s="606"/>
      <c r="E46" s="604">
        <f>E45+E44</f>
        <v>1</v>
      </c>
      <c r="F46" s="604"/>
      <c r="G46" s="348"/>
      <c r="H46" s="604">
        <f>H45+H44</f>
        <v>1</v>
      </c>
      <c r="I46" s="604"/>
      <c r="J46" s="348"/>
      <c r="K46" s="604">
        <f>K45+K44</f>
        <v>1</v>
      </c>
      <c r="L46" s="604"/>
      <c r="M46" s="348"/>
      <c r="N46" s="604">
        <f>N45+N44</f>
        <v>1</v>
      </c>
      <c r="O46" s="604"/>
      <c r="P46" s="348"/>
    </row>
    <row r="47" spans="2:16" customFormat="1" ht="12" customHeight="1" x14ac:dyDescent="0.2">
      <c r="B47" s="608"/>
      <c r="C47" s="29" t="s">
        <v>486</v>
      </c>
      <c r="D47" s="608"/>
      <c r="E47" s="609"/>
      <c r="F47" s="609"/>
      <c r="G47" s="609"/>
      <c r="H47" s="609"/>
      <c r="I47" s="609"/>
      <c r="J47" s="609"/>
      <c r="K47" s="609"/>
      <c r="L47" s="609"/>
      <c r="M47" s="609"/>
      <c r="N47" s="609"/>
      <c r="O47" s="609"/>
      <c r="P47" s="609"/>
    </row>
    <row r="48" spans="2:16" customFormat="1" ht="12" customHeight="1" x14ac:dyDescent="0.2">
      <c r="B48" s="1"/>
      <c r="C48" s="29" t="s">
        <v>420</v>
      </c>
      <c r="D48" s="1"/>
      <c r="E48" s="1"/>
      <c r="F48" s="1"/>
      <c r="G48" s="1"/>
      <c r="H48" s="1"/>
      <c r="I48" s="1"/>
      <c r="J48" s="1"/>
      <c r="K48" s="1"/>
      <c r="L48" s="1"/>
      <c r="M48" s="1"/>
      <c r="N48" s="1"/>
      <c r="O48" s="1"/>
      <c r="P48" s="1"/>
    </row>
    <row r="49" spans="3:16" customFormat="1" ht="12" customHeight="1" x14ac:dyDescent="0.2">
      <c r="C49" s="29" t="s">
        <v>421</v>
      </c>
      <c r="E49" s="2"/>
      <c r="F49" s="47"/>
      <c r="G49" s="47"/>
      <c r="H49" s="14"/>
      <c r="I49" s="63"/>
      <c r="J49" s="47"/>
      <c r="K49" s="6"/>
      <c r="L49" s="47"/>
      <c r="M49" s="47"/>
      <c r="N49" s="6"/>
      <c r="O49" s="47"/>
      <c r="P49" s="47"/>
    </row>
    <row r="50" spans="3:16" customFormat="1" ht="13.35" customHeight="1" x14ac:dyDescent="0.2">
      <c r="I50" s="1"/>
    </row>
    <row r="51" spans="3:16" customFormat="1" ht="13.35" customHeight="1" x14ac:dyDescent="0.2">
      <c r="I51" s="352" t="s">
        <v>371</v>
      </c>
    </row>
    <row r="52" spans="3:16" customFormat="1" ht="13.35" customHeight="1" x14ac:dyDescent="0.2">
      <c r="I52" s="1"/>
    </row>
    <row r="53" spans="3:16" customFormat="1" ht="13.35" customHeight="1" x14ac:dyDescent="0.2">
      <c r="I53" s="1"/>
    </row>
    <row r="54" spans="3:16" customFormat="1" ht="13.35" customHeight="1" x14ac:dyDescent="0.2">
      <c r="E54" s="300"/>
      <c r="F54" s="300"/>
      <c r="G54" s="300"/>
      <c r="H54" s="300"/>
      <c r="I54" s="301"/>
      <c r="J54" s="300"/>
      <c r="K54" s="300"/>
      <c r="L54" s="300"/>
      <c r="M54" s="300"/>
      <c r="N54" s="300"/>
    </row>
    <row r="55" spans="3:16" customFormat="1" ht="13.35" hidden="1" customHeight="1" x14ac:dyDescent="0.2">
      <c r="D55" s="131" t="s">
        <v>179</v>
      </c>
      <c r="E55" s="137">
        <f>E39/A2.3.1!E39</f>
        <v>7.0732565919092397E-2</v>
      </c>
      <c r="G55" s="137">
        <f>G39/A2.3.1!G39</f>
        <v>9.2235286666968383E-2</v>
      </c>
      <c r="H55" s="137">
        <f>H39/A2.3.1!H39</f>
        <v>6.5554373257293033E-2</v>
      </c>
      <c r="J55" s="137">
        <f>J39/A2.3.1!J39</f>
        <v>8.9853060988203559E-2</v>
      </c>
      <c r="K55" s="137">
        <f>K39/A2.3.1!K39</f>
        <v>6.170721011816839E-2</v>
      </c>
      <c r="M55" s="137">
        <f>M39/A2.3.1!M39</f>
        <v>8.9690088326805251E-2</v>
      </c>
      <c r="N55" s="137">
        <f>N39/A2.3.1!N39</f>
        <v>5.6668807665781751E-2</v>
      </c>
      <c r="P55" s="137">
        <f>P39/A2.3.1!P39</f>
        <v>8.8556635455280433E-2</v>
      </c>
    </row>
    <row r="56" spans="3:16" customFormat="1" ht="13.35" hidden="1" customHeight="1" x14ac:dyDescent="0.2">
      <c r="I56" s="1"/>
    </row>
    <row r="57" spans="3:16" customFormat="1" ht="13.35" hidden="1" customHeight="1" x14ac:dyDescent="0.2">
      <c r="D57" s="228" t="s">
        <v>320</v>
      </c>
      <c r="E57" s="47"/>
      <c r="F57" s="47"/>
      <c r="G57" s="47"/>
      <c r="H57" s="47"/>
      <c r="I57" s="63"/>
      <c r="J57" s="47"/>
      <c r="K57" s="47"/>
      <c r="L57" s="47"/>
      <c r="M57" s="47"/>
      <c r="N57" s="47"/>
      <c r="O57" s="47"/>
      <c r="P57" s="47"/>
    </row>
    <row r="58" spans="3:16" customFormat="1" ht="13.35" hidden="1" customHeight="1" x14ac:dyDescent="0.2">
      <c r="D58" s="46"/>
      <c r="E58" s="47"/>
      <c r="F58" s="47"/>
      <c r="G58" s="47"/>
      <c r="H58" s="47"/>
      <c r="I58" s="63"/>
      <c r="J58" s="47"/>
      <c r="K58" s="47"/>
      <c r="L58" s="47"/>
      <c r="M58" s="47"/>
      <c r="N58" s="47"/>
      <c r="O58" s="47"/>
      <c r="P58" s="47"/>
    </row>
    <row r="59" spans="3:16" hidden="1" x14ac:dyDescent="0.2">
      <c r="E59" s="295"/>
      <c r="F59" s="295"/>
      <c r="G59" s="295"/>
      <c r="H59" s="295"/>
      <c r="I59" s="295"/>
      <c r="J59" s="295"/>
      <c r="K59" s="295"/>
      <c r="L59" s="295"/>
      <c r="M59" s="295"/>
      <c r="N59" s="302"/>
      <c r="O59" s="302"/>
      <c r="P59" s="295"/>
    </row>
    <row r="60" spans="3:16" customFormat="1" ht="13.35" hidden="1" customHeight="1" x14ac:dyDescent="0.2">
      <c r="D60" s="181" t="s">
        <v>4</v>
      </c>
      <c r="E60" s="182">
        <f t="shared" ref="E60:G60" si="4">SUM(E61:E67)</f>
        <v>42865</v>
      </c>
      <c r="F60" s="182">
        <f t="shared" si="4"/>
        <v>2070.6682779999974</v>
      </c>
      <c r="G60" s="182">
        <f t="shared" si="4"/>
        <v>1435.1751220000024</v>
      </c>
      <c r="H60" s="182">
        <f t="shared" ref="H60" si="5">SUM(H61:H67)</f>
        <v>42163</v>
      </c>
      <c r="I60" s="182">
        <f t="shared" ref="I60:P60" si="6">SUM(I61:I67)</f>
        <v>2091.496326</v>
      </c>
      <c r="J60" s="182">
        <f t="shared" si="6"/>
        <v>1410.129293</v>
      </c>
      <c r="K60" s="182">
        <f t="shared" si="6"/>
        <v>44672</v>
      </c>
      <c r="L60" s="182">
        <f t="shared" si="6"/>
        <v>2729.7124739999999</v>
      </c>
      <c r="M60" s="182">
        <f t="shared" si="6"/>
        <v>1587.7935629999999</v>
      </c>
      <c r="N60" s="182">
        <f t="shared" si="6"/>
        <v>52037</v>
      </c>
      <c r="O60" s="182">
        <f t="shared" si="6"/>
        <v>3146.7505740000001</v>
      </c>
      <c r="P60" s="183">
        <f t="shared" si="6"/>
        <v>1856.0241720000001</v>
      </c>
    </row>
    <row r="61" spans="3:16" customFormat="1" ht="13.35" hidden="1" customHeight="1" x14ac:dyDescent="0.2">
      <c r="D61" s="179" t="s">
        <v>451</v>
      </c>
      <c r="E61" s="175">
        <f>E70-SUM(E4:E37)</f>
        <v>42865</v>
      </c>
      <c r="F61" s="175">
        <f>F70-SUM(F4:F37)</f>
        <v>2070.6682779999974</v>
      </c>
      <c r="G61" s="175">
        <f>G70-SUM(G4:G37)</f>
        <v>1435.1751220000024</v>
      </c>
      <c r="H61" s="175">
        <v>5419</v>
      </c>
      <c r="I61" s="175">
        <v>410.331973</v>
      </c>
      <c r="J61" s="175">
        <v>128.57750899999999</v>
      </c>
      <c r="K61" s="175">
        <v>12348</v>
      </c>
      <c r="L61" s="175">
        <v>1407.709474</v>
      </c>
      <c r="M61" s="175">
        <v>486.72125499999999</v>
      </c>
      <c r="N61" s="175">
        <v>28753</v>
      </c>
      <c r="O61" s="175">
        <v>1618.2793039999999</v>
      </c>
      <c r="P61" s="176">
        <v>845.34140000000002</v>
      </c>
    </row>
    <row r="62" spans="3:16" customFormat="1" ht="13.35" hidden="1" customHeight="1" x14ac:dyDescent="0.2">
      <c r="D62" s="179" t="s">
        <v>413</v>
      </c>
      <c r="E62" s="175">
        <v>0</v>
      </c>
      <c r="F62" s="175">
        <v>0</v>
      </c>
      <c r="G62" s="175">
        <v>0</v>
      </c>
      <c r="H62" s="175">
        <v>52</v>
      </c>
      <c r="I62" s="175">
        <v>12.479908</v>
      </c>
      <c r="J62" s="175">
        <v>4.5960400000000003</v>
      </c>
      <c r="K62" s="175">
        <v>22</v>
      </c>
      <c r="L62" s="175">
        <v>7.1416979999999999</v>
      </c>
      <c r="M62" s="175">
        <v>2.3511139999999999</v>
      </c>
      <c r="N62" s="175">
        <v>2</v>
      </c>
      <c r="O62" s="175">
        <v>0.29020899999999999</v>
      </c>
      <c r="P62" s="176">
        <v>3.0727999999999998E-2</v>
      </c>
    </row>
    <row r="63" spans="3:16" customFormat="1" ht="13.35" hidden="1" customHeight="1" x14ac:dyDescent="0.2">
      <c r="D63" s="179" t="s">
        <v>414</v>
      </c>
      <c r="E63" s="175">
        <v>0</v>
      </c>
      <c r="F63" s="175">
        <v>0</v>
      </c>
      <c r="G63" s="175">
        <v>0</v>
      </c>
      <c r="H63" s="175">
        <v>36615</v>
      </c>
      <c r="I63" s="175">
        <v>1655.820972</v>
      </c>
      <c r="J63" s="175">
        <v>1273.4956540000001</v>
      </c>
      <c r="K63" s="175">
        <v>32261</v>
      </c>
      <c r="L63" s="175">
        <v>1306.4898459999999</v>
      </c>
      <c r="M63" s="175">
        <v>1096.4060689999999</v>
      </c>
      <c r="N63" s="175">
        <v>23149</v>
      </c>
      <c r="O63" s="175">
        <v>1503.6132239999999</v>
      </c>
      <c r="P63" s="176">
        <v>1004.880184</v>
      </c>
    </row>
    <row r="64" spans="3:16" customFormat="1" ht="13.35" hidden="1" customHeight="1" x14ac:dyDescent="0.2">
      <c r="D64" s="179" t="s">
        <v>416</v>
      </c>
      <c r="E64" s="175">
        <v>0</v>
      </c>
      <c r="F64" s="175">
        <v>0</v>
      </c>
      <c r="G64" s="175">
        <v>0</v>
      </c>
      <c r="H64" s="175">
        <v>1</v>
      </c>
      <c r="I64" s="175">
        <v>0</v>
      </c>
      <c r="J64" s="175">
        <v>0</v>
      </c>
      <c r="K64" s="175">
        <v>1</v>
      </c>
      <c r="L64" s="175">
        <v>0</v>
      </c>
      <c r="M64" s="175">
        <v>0</v>
      </c>
      <c r="N64" s="175"/>
      <c r="O64" s="175">
        <v>0</v>
      </c>
      <c r="P64" s="176">
        <v>0</v>
      </c>
    </row>
    <row r="65" spans="4:16" customFormat="1" ht="13.35" hidden="1" customHeight="1" x14ac:dyDescent="0.2">
      <c r="D65" s="179" t="s">
        <v>417</v>
      </c>
      <c r="E65" s="175">
        <v>0</v>
      </c>
      <c r="F65" s="175">
        <v>0</v>
      </c>
      <c r="G65" s="175">
        <v>0</v>
      </c>
      <c r="H65" s="175">
        <v>63</v>
      </c>
      <c r="I65" s="175">
        <v>12.275404999999999</v>
      </c>
      <c r="J65" s="175">
        <v>3.4286919999999999</v>
      </c>
      <c r="K65" s="175">
        <v>15</v>
      </c>
      <c r="L65" s="175">
        <v>1.3986320000000001</v>
      </c>
      <c r="M65" s="175">
        <v>0.31841399999999997</v>
      </c>
      <c r="N65" s="175">
        <v>7</v>
      </c>
      <c r="O65" s="175">
        <v>2.846031</v>
      </c>
      <c r="P65" s="176">
        <v>0.84777499999999995</v>
      </c>
    </row>
    <row r="66" spans="4:16" customFormat="1" ht="13.35" hidden="1" customHeight="1" x14ac:dyDescent="0.2">
      <c r="D66" s="179" t="s">
        <v>423</v>
      </c>
      <c r="E66" s="175">
        <v>0</v>
      </c>
      <c r="F66" s="175">
        <v>0</v>
      </c>
      <c r="G66" s="175">
        <v>0</v>
      </c>
      <c r="H66" s="175">
        <v>13</v>
      </c>
      <c r="I66" s="175">
        <v>0.58806800000000004</v>
      </c>
      <c r="J66" s="175">
        <v>3.1398000000000002E-2</v>
      </c>
      <c r="K66" s="175">
        <v>25</v>
      </c>
      <c r="L66" s="175">
        <v>6.9728240000000001</v>
      </c>
      <c r="M66" s="175">
        <v>1.9967109999999999</v>
      </c>
      <c r="N66" s="175">
        <v>126</v>
      </c>
      <c r="O66" s="175">
        <v>21.721806000000001</v>
      </c>
      <c r="P66" s="176">
        <v>4.9240849999999998</v>
      </c>
    </row>
    <row r="67" spans="4:16" customFormat="1" ht="13.35" hidden="1" customHeight="1" x14ac:dyDescent="0.2">
      <c r="D67" s="180" t="s">
        <v>231</v>
      </c>
      <c r="E67" s="177">
        <v>0</v>
      </c>
      <c r="F67" s="177">
        <v>0</v>
      </c>
      <c r="G67" s="177">
        <v>0</v>
      </c>
      <c r="H67" s="177">
        <v>0</v>
      </c>
      <c r="I67" s="177">
        <v>0</v>
      </c>
      <c r="J67" s="177">
        <v>0</v>
      </c>
      <c r="K67" s="177">
        <v>0</v>
      </c>
      <c r="L67" s="177">
        <v>0</v>
      </c>
      <c r="M67" s="177">
        <v>0</v>
      </c>
      <c r="N67" s="177">
        <v>0</v>
      </c>
      <c r="O67" s="177">
        <v>0</v>
      </c>
      <c r="P67" s="178">
        <v>0</v>
      </c>
    </row>
    <row r="68" spans="4:16" x14ac:dyDescent="0.2">
      <c r="E68" s="295"/>
      <c r="F68" s="295"/>
      <c r="G68" s="295"/>
      <c r="H68" s="295"/>
      <c r="I68" s="295"/>
      <c r="J68" s="295"/>
      <c r="K68" s="295"/>
      <c r="L68" s="295"/>
      <c r="M68" s="295"/>
      <c r="N68" s="302"/>
      <c r="O68" s="302"/>
      <c r="P68" s="295"/>
    </row>
    <row r="70" spans="4:16" hidden="1" x14ac:dyDescent="0.2">
      <c r="E70" s="737">
        <v>333342</v>
      </c>
      <c r="F70" s="737">
        <v>46500.769638000005</v>
      </c>
      <c r="G70" s="737">
        <v>15923.593256000004</v>
      </c>
    </row>
    <row r="80" spans="4:16" x14ac:dyDescent="0.2">
      <c r="H80" s="2"/>
      <c r="I80" s="2"/>
      <c r="J80" s="2"/>
      <c r="K80" s="2"/>
      <c r="L80" s="2"/>
      <c r="M80" s="2"/>
      <c r="N80" s="2"/>
      <c r="O80" s="2"/>
      <c r="P80" s="2"/>
    </row>
    <row r="86" spans="8:16" x14ac:dyDescent="0.2">
      <c r="H86" s="2"/>
      <c r="I86" s="2"/>
      <c r="J86" s="2"/>
      <c r="K86" s="2"/>
      <c r="L86" s="2"/>
      <c r="M86" s="2"/>
      <c r="N86" s="2"/>
      <c r="O86" s="2"/>
      <c r="P86" s="2"/>
    </row>
    <row r="105" spans="3:16" x14ac:dyDescent="0.2">
      <c r="C105" s="10"/>
      <c r="D105" s="10"/>
      <c r="E105" s="10"/>
      <c r="F105" s="10"/>
      <c r="G105" s="10"/>
      <c r="H105" s="10"/>
      <c r="I105" s="10"/>
      <c r="J105" s="10"/>
      <c r="K105" s="10"/>
      <c r="L105" s="10"/>
      <c r="M105" s="10"/>
      <c r="N105" s="10"/>
      <c r="O105" s="10"/>
      <c r="P105" s="10"/>
    </row>
    <row r="106" spans="3:16" x14ac:dyDescent="0.2">
      <c r="C106" s="10"/>
      <c r="D106" s="10"/>
      <c r="E106" s="10"/>
      <c r="F106" s="10"/>
      <c r="G106" s="10"/>
      <c r="H106" s="10"/>
      <c r="I106" s="10"/>
      <c r="J106" s="10"/>
      <c r="K106" s="10"/>
      <c r="L106" s="10"/>
      <c r="M106" s="10"/>
      <c r="N106" s="10"/>
      <c r="O106" s="10"/>
      <c r="P106" s="10"/>
    </row>
    <row r="107" spans="3:16" x14ac:dyDescent="0.2">
      <c r="C107" s="10"/>
      <c r="D107" s="10"/>
      <c r="E107" s="10"/>
      <c r="F107" s="10"/>
      <c r="G107" s="10"/>
      <c r="H107" s="10"/>
      <c r="I107" s="10"/>
      <c r="J107" s="10"/>
      <c r="K107" s="10"/>
      <c r="L107" s="10"/>
      <c r="M107" s="10"/>
      <c r="N107" s="10"/>
      <c r="O107" s="10"/>
      <c r="P107" s="10"/>
    </row>
    <row r="108" spans="3:16" x14ac:dyDescent="0.2">
      <c r="C108" s="10"/>
      <c r="D108" s="10"/>
      <c r="E108" s="10"/>
      <c r="F108" s="10"/>
      <c r="G108" s="10"/>
      <c r="H108" s="10"/>
      <c r="I108" s="10"/>
      <c r="J108" s="10"/>
      <c r="K108" s="10"/>
      <c r="L108" s="10"/>
      <c r="M108" s="10"/>
      <c r="N108" s="10"/>
      <c r="O108" s="10"/>
      <c r="P108" s="10"/>
    </row>
    <row r="109" spans="3:16" x14ac:dyDescent="0.2">
      <c r="D109" s="10"/>
      <c r="E109" s="10"/>
      <c r="F109" s="10"/>
      <c r="G109" s="10"/>
      <c r="H109" s="10"/>
      <c r="I109" s="10"/>
      <c r="J109" s="10"/>
      <c r="K109" s="10"/>
      <c r="L109" s="10"/>
      <c r="M109" s="10"/>
      <c r="N109" s="10"/>
      <c r="O109" s="10"/>
      <c r="P109" s="10"/>
    </row>
    <row r="110" spans="3:16" x14ac:dyDescent="0.2">
      <c r="D110" s="10"/>
      <c r="E110" s="10"/>
      <c r="F110" s="10"/>
      <c r="G110" s="10"/>
      <c r="H110" s="10"/>
      <c r="I110" s="10"/>
      <c r="J110" s="10"/>
      <c r="K110" s="10"/>
      <c r="L110" s="10"/>
      <c r="M110" s="10"/>
      <c r="N110" s="10"/>
      <c r="O110" s="10"/>
      <c r="P110" s="10"/>
    </row>
    <row r="111" spans="3:16" x14ac:dyDescent="0.2">
      <c r="D111" s="10"/>
      <c r="E111" s="10"/>
      <c r="F111" s="10"/>
      <c r="G111" s="10"/>
      <c r="H111" s="10"/>
      <c r="I111" s="10"/>
      <c r="J111" s="10"/>
      <c r="K111" s="10"/>
      <c r="L111" s="10"/>
      <c r="M111" s="10"/>
      <c r="N111" s="10"/>
      <c r="O111" s="10"/>
      <c r="P111" s="10"/>
    </row>
    <row r="113" spans="4:16" x14ac:dyDescent="0.2">
      <c r="D113" s="10"/>
      <c r="E113" s="10"/>
      <c r="F113" s="10"/>
      <c r="G113" s="10"/>
      <c r="H113" s="10"/>
      <c r="I113" s="10"/>
      <c r="J113" s="10"/>
      <c r="K113" s="10"/>
      <c r="L113" s="10"/>
      <c r="M113" s="10"/>
      <c r="N113" s="10"/>
      <c r="O113" s="10"/>
      <c r="P113" s="10"/>
    </row>
    <row r="114" spans="4:16" x14ac:dyDescent="0.2">
      <c r="D114" s="10"/>
      <c r="E114" s="10"/>
      <c r="F114" s="10"/>
      <c r="G114" s="10"/>
      <c r="H114" s="10"/>
      <c r="I114" s="10"/>
      <c r="J114" s="10"/>
      <c r="K114" s="10"/>
      <c r="L114" s="10"/>
      <c r="M114" s="10"/>
      <c r="N114" s="10"/>
      <c r="O114" s="10"/>
      <c r="P114" s="10"/>
    </row>
  </sheetData>
  <mergeCells count="1">
    <mergeCell ref="C3:D3"/>
  </mergeCells>
  <phoneticPr fontId="10" type="noConversion"/>
  <hyperlinks>
    <hyperlink ref="I51" location="CONTENTS!A1" display="BACK TO CONTENTS"/>
  </hyperlinks>
  <pageMargins left="0.98425196850393704" right="0.98425196850393704" top="0.98425196850393704" bottom="0.98425196850393704" header="0.51181102362204722" footer="0.51181102362204722"/>
  <pageSetup paperSize="9" scale="6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tabColor theme="7" tint="0.79998168889431442"/>
    <pageSetUpPr fitToPage="1"/>
  </sheetPr>
  <dimension ref="B1:P40"/>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37.7109375" style="2" customWidth="1"/>
    <col min="5" max="7" width="8.7109375" style="2" customWidth="1"/>
    <col min="8" max="8" width="8.7109375" style="14" customWidth="1"/>
    <col min="9" max="9" width="8.7109375" style="62" customWidth="1"/>
    <col min="10" max="16" width="8.7109375" style="6" customWidth="1"/>
    <col min="17" max="16384" width="9.140625" style="10"/>
  </cols>
  <sheetData>
    <row r="1" spans="2:16" s="8" customFormat="1" ht="15" customHeight="1" x14ac:dyDescent="0.2">
      <c r="B1" s="439" t="s">
        <v>422</v>
      </c>
      <c r="C1" s="361"/>
      <c r="D1" s="361"/>
      <c r="E1" s="362"/>
      <c r="F1" s="70"/>
      <c r="G1" s="70"/>
      <c r="H1" s="61"/>
      <c r="I1" s="61"/>
      <c r="J1" s="5"/>
      <c r="K1" s="4"/>
      <c r="L1" s="4"/>
      <c r="M1" s="4"/>
      <c r="N1" s="4"/>
      <c r="O1" s="4"/>
      <c r="P1" s="4"/>
    </row>
    <row r="2" spans="2:16" s="8" customFormat="1" ht="15" customHeight="1" x14ac:dyDescent="0.2">
      <c r="B2" s="463"/>
      <c r="C2" s="464" t="s">
        <v>168</v>
      </c>
      <c r="D2" s="526"/>
      <c r="E2" s="466" t="s">
        <v>576</v>
      </c>
      <c r="F2" s="467"/>
      <c r="G2" s="468"/>
      <c r="H2" s="469" t="s">
        <v>577</v>
      </c>
      <c r="I2" s="467"/>
      <c r="J2" s="468"/>
      <c r="K2" s="469" t="s">
        <v>578</v>
      </c>
      <c r="L2" s="467"/>
      <c r="M2" s="468"/>
      <c r="N2" s="469" t="s">
        <v>579</v>
      </c>
      <c r="O2" s="467"/>
      <c r="P2" s="468"/>
    </row>
    <row r="3" spans="2:16" ht="38.1" customHeight="1" x14ac:dyDescent="0.2">
      <c r="B3" s="470"/>
      <c r="C3" s="1028" t="s">
        <v>195</v>
      </c>
      <c r="D3" s="1030"/>
      <c r="E3" s="506" t="s">
        <v>17</v>
      </c>
      <c r="F3" s="506" t="s">
        <v>80</v>
      </c>
      <c r="G3" s="507" t="s">
        <v>81</v>
      </c>
      <c r="H3" s="506" t="s">
        <v>17</v>
      </c>
      <c r="I3" s="506" t="s">
        <v>80</v>
      </c>
      <c r="J3" s="507" t="s">
        <v>81</v>
      </c>
      <c r="K3" s="506" t="s">
        <v>17</v>
      </c>
      <c r="L3" s="506" t="s">
        <v>80</v>
      </c>
      <c r="M3" s="507" t="s">
        <v>81</v>
      </c>
      <c r="N3" s="506" t="s">
        <v>17</v>
      </c>
      <c r="O3" s="506" t="s">
        <v>80</v>
      </c>
      <c r="P3" s="507" t="s">
        <v>81</v>
      </c>
    </row>
    <row r="4" spans="2:16" ht="13.35" customHeight="1" x14ac:dyDescent="0.2">
      <c r="B4" s="48"/>
      <c r="C4" s="16" t="s">
        <v>109</v>
      </c>
      <c r="D4" s="338"/>
      <c r="E4" s="715">
        <f>A2.4.1!E4/A2.4.1!E$39</f>
        <v>0.11716195378920148</v>
      </c>
      <c r="F4" s="715">
        <f>A2.4.1!F4/A2.4.1!F$39</f>
        <v>0.18427668754104845</v>
      </c>
      <c r="G4" s="716">
        <f>A2.4.1!G4/A2.4.1!G$39</f>
        <v>0.16618905742288193</v>
      </c>
      <c r="H4" s="715">
        <f>A2.4.1!H4/A2.4.1!H$39</f>
        <v>0.11716086057448898</v>
      </c>
      <c r="I4" s="715">
        <f>A2.4.1!I4/A2.4.1!I$39</f>
        <v>0.18427668755094576</v>
      </c>
      <c r="J4" s="716">
        <f>A2.4.1!J4/A2.4.1!J$39</f>
        <v>0.16618905744932438</v>
      </c>
      <c r="K4" s="715">
        <f>A2.4.1!K4/A2.4.1!K$39</f>
        <v>0.12060292110036841</v>
      </c>
      <c r="L4" s="715">
        <f>A2.4.1!L4/A2.4.1!L$39</f>
        <v>0.1827842003236804</v>
      </c>
      <c r="M4" s="716">
        <f>A2.4.1!M4/A2.4.1!M$39</f>
        <v>0.16809550752074692</v>
      </c>
      <c r="N4" s="715">
        <f>A2.4.1!N4/A2.4.1!N$39</f>
        <v>9.1700175489505181E-2</v>
      </c>
      <c r="O4" s="715">
        <f>A2.4.1!O4/A2.4.1!O$39</f>
        <v>0.13191004214166588</v>
      </c>
      <c r="P4" s="716">
        <f>A2.4.1!P4/A2.4.1!P$39</f>
        <v>0.11088808180849266</v>
      </c>
    </row>
    <row r="5" spans="2:16" ht="13.35" customHeight="1" x14ac:dyDescent="0.2">
      <c r="B5" s="48"/>
      <c r="C5" s="16" t="s">
        <v>110</v>
      </c>
      <c r="D5" s="338"/>
      <c r="E5" s="715">
        <f>A2.4.1!E5/A2.4.1!E$39</f>
        <v>4.2613892038806993E-2</v>
      </c>
      <c r="F5" s="715">
        <f>A2.4.1!F5/A2.4.1!F$39</f>
        <v>-3.8815571485186953E-2</v>
      </c>
      <c r="G5" s="716">
        <f>A2.4.1!G5/A2.4.1!G$39</f>
        <v>2.3272643117806597E-2</v>
      </c>
      <c r="H5" s="715">
        <f>A2.4.1!H5/A2.4.1!H$39</f>
        <v>4.2613930961283908E-2</v>
      </c>
      <c r="I5" s="715">
        <f>A2.4.1!I5/A2.4.1!I$39</f>
        <v>-3.881557149541047E-2</v>
      </c>
      <c r="J5" s="716">
        <f>A2.4.1!J5/A2.4.1!J$39</f>
        <v>2.3272643096405903E-2</v>
      </c>
      <c r="K5" s="715">
        <f>A2.4.1!K5/A2.4.1!K$39</f>
        <v>4.0768238176275874E-2</v>
      </c>
      <c r="L5" s="715">
        <f>A2.4.1!L5/A2.4.1!L$39</f>
        <v>-3.3840236928439522E-2</v>
      </c>
      <c r="M5" s="716">
        <f>A2.4.1!M5/A2.4.1!M$39</f>
        <v>2.3121522293662995E-2</v>
      </c>
      <c r="N5" s="715">
        <f>A2.4.1!N5/A2.4.1!N$39</f>
        <v>4.4079647362821099E-2</v>
      </c>
      <c r="O5" s="715">
        <f>A2.4.1!O5/A2.4.1!O$39</f>
        <v>-1.541744255455367E-2</v>
      </c>
      <c r="P5" s="716">
        <f>A2.4.1!P5/A2.4.1!P$39</f>
        <v>3.38915455379077E-2</v>
      </c>
    </row>
    <row r="6" spans="2:16" ht="13.35" customHeight="1" x14ac:dyDescent="0.2">
      <c r="B6" s="48"/>
      <c r="C6" s="16" t="s">
        <v>131</v>
      </c>
      <c r="D6" s="338"/>
      <c r="E6" s="715">
        <f>A2.4.1!E6/A2.4.1!E$39</f>
        <v>1.538959987040337E-3</v>
      </c>
      <c r="F6" s="715">
        <f>A2.4.1!F6/A2.4.1!F$39</f>
        <v>1.6249136646171395E-3</v>
      </c>
      <c r="G6" s="716">
        <f>A2.4.1!G6/A2.4.1!G$39</f>
        <v>1.4435619919730507E-3</v>
      </c>
      <c r="H6" s="715">
        <f>A2.4.1!H6/A2.4.1!H$39</f>
        <v>1.5402258184546503E-3</v>
      </c>
      <c r="I6" s="715">
        <f>A2.4.1!I6/A2.4.1!I$39</f>
        <v>1.6249136648975528E-3</v>
      </c>
      <c r="J6" s="716">
        <f>A2.4.1!J6/A2.4.1!J$39</f>
        <v>1.443562004325852E-3</v>
      </c>
      <c r="K6" s="715">
        <f>A2.4.1!K6/A2.4.1!K$39</f>
        <v>1.5677694038736059E-3</v>
      </c>
      <c r="L6" s="715">
        <f>A2.4.1!L6/A2.4.1!L$39</f>
        <v>1.4476583439642628E-3</v>
      </c>
      <c r="M6" s="716">
        <f>A2.4.1!M6/A2.4.1!M$39</f>
        <v>1.1898446628891717E-3</v>
      </c>
      <c r="N6" s="715">
        <f>A2.4.1!N6/A2.4.1!N$39</f>
        <v>1.7065318022910362E-3</v>
      </c>
      <c r="O6" s="715">
        <f>A2.4.1!O6/A2.4.1!O$39</f>
        <v>2.1947367920000455E-3</v>
      </c>
      <c r="P6" s="716">
        <f>A2.4.1!P6/A2.4.1!P$39</f>
        <v>1.9271150662613669E-3</v>
      </c>
    </row>
    <row r="7" spans="2:16" ht="13.35" customHeight="1" x14ac:dyDescent="0.2">
      <c r="B7" s="48"/>
      <c r="C7" s="16" t="s">
        <v>111</v>
      </c>
      <c r="D7" s="338"/>
      <c r="E7" s="715">
        <f>A2.4.1!E7/A2.4.1!E$39</f>
        <v>1.512560673422491E-2</v>
      </c>
      <c r="F7" s="715">
        <f>A2.4.1!F7/A2.4.1!F$39</f>
        <v>1.5874520480985074E-3</v>
      </c>
      <c r="G7" s="716">
        <f>A2.4.1!G7/A2.4.1!G$39</f>
        <v>4.0570747419498131E-3</v>
      </c>
      <c r="H7" s="715">
        <f>A2.4.1!H7/A2.4.1!H$39</f>
        <v>1.5124712542013091E-2</v>
      </c>
      <c r="I7" s="715">
        <f>A2.4.1!I7/A2.4.1!I$39</f>
        <v>1.5874520492283914E-3</v>
      </c>
      <c r="J7" s="716">
        <f>A2.4.1!J7/A2.4.1!J$39</f>
        <v>4.0570747413535349E-3</v>
      </c>
      <c r="K7" s="715">
        <f>A2.4.1!K7/A2.4.1!K$39</f>
        <v>1.442784208853066E-2</v>
      </c>
      <c r="L7" s="715">
        <f>A2.4.1!L7/A2.4.1!L$39</f>
        <v>2.4524004543756126E-3</v>
      </c>
      <c r="M7" s="716">
        <f>A2.4.1!M7/A2.4.1!M$39</f>
        <v>3.995252248238608E-3</v>
      </c>
      <c r="N7" s="715">
        <f>A2.4.1!N7/A2.4.1!N$39</f>
        <v>1.1987176829858089E-2</v>
      </c>
      <c r="O7" s="715">
        <f>A2.4.1!O7/A2.4.1!O$39</f>
        <v>2.2668979859918337E-3</v>
      </c>
      <c r="P7" s="716">
        <f>A2.4.1!P7/A2.4.1!P$39</f>
        <v>4.7664206284360831E-3</v>
      </c>
    </row>
    <row r="8" spans="2:16" ht="13.35" customHeight="1" x14ac:dyDescent="0.2">
      <c r="B8" s="48"/>
      <c r="C8" s="16" t="s">
        <v>132</v>
      </c>
      <c r="D8" s="338"/>
      <c r="E8" s="715">
        <f>A2.4.1!E8/A2.4.1!E$39</f>
        <v>3.2219162301780156E-3</v>
      </c>
      <c r="F8" s="715">
        <f>A2.4.1!F8/A2.4.1!F$39</f>
        <v>6.7887228632454392E-3</v>
      </c>
      <c r="G8" s="716">
        <f>A2.4.1!G8/A2.4.1!G$39</f>
        <v>6.2528111839633372E-3</v>
      </c>
      <c r="H8" s="715">
        <f>A2.4.1!H8/A2.4.1!H$39</f>
        <v>3.2207494342338825E-3</v>
      </c>
      <c r="I8" s="715">
        <f>A2.4.1!I8/A2.4.1!I$39</f>
        <v>6.7887228690088177E-3</v>
      </c>
      <c r="J8" s="716">
        <f>A2.4.1!J8/A2.4.1!J$39</f>
        <v>6.2528112025773876E-3</v>
      </c>
      <c r="K8" s="715">
        <f>A2.4.1!K8/A2.4.1!K$39</f>
        <v>3.7028032839002863E-3</v>
      </c>
      <c r="L8" s="715">
        <f>A2.4.1!L8/A2.4.1!L$39</f>
        <v>7.5307982028882886E-3</v>
      </c>
      <c r="M8" s="716">
        <f>A2.4.1!M8/A2.4.1!M$39</f>
        <v>6.7655253499268415E-3</v>
      </c>
      <c r="N8" s="715">
        <f>A2.4.1!N8/A2.4.1!N$39</f>
        <v>4.5599635202918376E-3</v>
      </c>
      <c r="O8" s="715">
        <f>A2.4.1!O8/A2.4.1!O$39</f>
        <v>8.5519274467179569E-3</v>
      </c>
      <c r="P8" s="716">
        <f>A2.4.1!P8/A2.4.1!P$39</f>
        <v>7.4089190769909144E-3</v>
      </c>
    </row>
    <row r="9" spans="2:16" ht="13.35" customHeight="1" x14ac:dyDescent="0.2">
      <c r="B9" s="48"/>
      <c r="C9" s="16" t="s">
        <v>112</v>
      </c>
      <c r="D9" s="338"/>
      <c r="E9" s="715">
        <f>A2.4.1!E9/A2.4.1!E$39</f>
        <v>2.780927695879907E-3</v>
      </c>
      <c r="F9" s="715">
        <f>A2.4.1!F9/A2.4.1!F$39</f>
        <v>2.3902229762057855E-3</v>
      </c>
      <c r="G9" s="716">
        <f>A2.4.1!G9/A2.4.1!G$39</f>
        <v>1.8522853809322391E-3</v>
      </c>
      <c r="H9" s="715">
        <f>A2.4.1!H9/A2.4.1!H$39</f>
        <v>2.7815563295656258E-3</v>
      </c>
      <c r="I9" s="715">
        <f>A2.4.1!I9/A2.4.1!I$39</f>
        <v>2.3902229863857335E-3</v>
      </c>
      <c r="J9" s="716">
        <f>A2.4.1!J9/A2.4.1!J$39</f>
        <v>1.8522853797996862E-3</v>
      </c>
      <c r="K9" s="715">
        <f>A2.4.1!K9/A2.4.1!K$39</f>
        <v>2.5745080071562596E-3</v>
      </c>
      <c r="L9" s="715">
        <f>A2.4.1!L9/A2.4.1!L$39</f>
        <v>2.5027706883393032E-3</v>
      </c>
      <c r="M9" s="716">
        <f>A2.4.1!M9/A2.4.1!M$39</f>
        <v>1.9485120376480538E-3</v>
      </c>
      <c r="N9" s="715">
        <f>A2.4.1!N9/A2.4.1!N$39</f>
        <v>2.6012519172573891E-3</v>
      </c>
      <c r="O9" s="715">
        <f>A2.4.1!O9/A2.4.1!O$39</f>
        <v>2.4752181559867326E-3</v>
      </c>
      <c r="P9" s="716">
        <f>A2.4.1!P9/A2.4.1!P$39</f>
        <v>1.8073328280086727E-3</v>
      </c>
    </row>
    <row r="10" spans="2:16" s="50" customFormat="1" ht="13.35" customHeight="1" x14ac:dyDescent="0.2">
      <c r="B10" s="48"/>
      <c r="C10" s="16" t="s">
        <v>133</v>
      </c>
      <c r="D10" s="338"/>
      <c r="E10" s="715">
        <f>A2.4.1!E10/A2.4.1!E$39</f>
        <v>1.1039712967462847E-3</v>
      </c>
      <c r="F10" s="715">
        <f>A2.4.1!F10/A2.4.1!F$39</f>
        <v>2.3667151717434117E-3</v>
      </c>
      <c r="G10" s="716">
        <f>A2.4.1!G10/A2.4.1!G$39</f>
        <v>2.0172198877220549E-3</v>
      </c>
      <c r="H10" s="715">
        <f>A2.4.1!H10/A2.4.1!H$39</f>
        <v>1.1040826659021454E-3</v>
      </c>
      <c r="I10" s="715">
        <f>A2.4.1!I10/A2.4.1!I$39</f>
        <v>2.3667151687109043E-3</v>
      </c>
      <c r="J10" s="716">
        <f>A2.4.1!J10/A2.4.1!J$39</f>
        <v>2.0172199190216298E-3</v>
      </c>
      <c r="K10" s="715">
        <f>A2.4.1!K10/A2.4.1!K$39</f>
        <v>1.137645790087209E-3</v>
      </c>
      <c r="L10" s="715">
        <f>A2.4.1!L10/A2.4.1!L$39</f>
        <v>2.5029328358167546E-3</v>
      </c>
      <c r="M10" s="716">
        <f>A2.4.1!M10/A2.4.1!M$39</f>
        <v>2.1429691655019747E-3</v>
      </c>
      <c r="N10" s="715">
        <f>A2.4.1!N10/A2.4.1!N$39</f>
        <v>1.5718056073733228E-3</v>
      </c>
      <c r="O10" s="715">
        <f>A2.4.1!O10/A2.4.1!O$39</f>
        <v>4.0758292430012723E-3</v>
      </c>
      <c r="P10" s="716">
        <f>A2.4.1!P10/A2.4.1!P$39</f>
        <v>3.6846612434156861E-3</v>
      </c>
    </row>
    <row r="11" spans="2:16" s="1" customFormat="1" ht="13.35" customHeight="1" x14ac:dyDescent="0.2">
      <c r="B11" s="26"/>
      <c r="C11" s="16" t="s">
        <v>5</v>
      </c>
      <c r="D11" s="338"/>
      <c r="E11" s="715">
        <f>A2.4.1!E11/A2.4.1!E$39</f>
        <v>3.3209136562449379E-2</v>
      </c>
      <c r="F11" s="715">
        <f>A2.4.1!F11/A2.4.1!F$39</f>
        <v>2.6034180819465427E-2</v>
      </c>
      <c r="G11" s="716">
        <f>A2.4.1!G11/A2.4.1!G$39</f>
        <v>2.2645773739801176E-2</v>
      </c>
      <c r="H11" s="715">
        <f>A2.4.1!H11/A2.4.1!H$39</f>
        <v>3.3207878636305407E-2</v>
      </c>
      <c r="I11" s="715">
        <f>A2.4.1!I11/A2.4.1!I$39</f>
        <v>2.6034180810898876E-2</v>
      </c>
      <c r="J11" s="716">
        <f>A2.4.1!J11/A2.4.1!J$39</f>
        <v>2.2645773770222255E-2</v>
      </c>
      <c r="K11" s="715">
        <f>A2.4.1!K11/A2.4.1!K$39</f>
        <v>3.0750721547946315E-2</v>
      </c>
      <c r="L11" s="715">
        <f>A2.4.1!L11/A2.4.1!L$39</f>
        <v>2.5005522209962158E-2</v>
      </c>
      <c r="M11" s="716">
        <f>A2.4.1!M11/A2.4.1!M$39</f>
        <v>2.0580830374390433E-2</v>
      </c>
      <c r="N11" s="715">
        <f>A2.4.1!N11/A2.4.1!N$39</f>
        <v>2.6171426992220425E-2</v>
      </c>
      <c r="O11" s="715">
        <f>A2.4.1!O11/A2.4.1!O$39</f>
        <v>2.785831251091141E-2</v>
      </c>
      <c r="P11" s="716">
        <f>A2.4.1!P11/A2.4.1!P$39</f>
        <v>2.2834976823604754E-2</v>
      </c>
    </row>
    <row r="12" spans="2:16" s="1" customFormat="1" ht="13.35" customHeight="1" x14ac:dyDescent="0.2">
      <c r="B12" s="26"/>
      <c r="C12" s="16" t="s">
        <v>113</v>
      </c>
      <c r="D12" s="338"/>
      <c r="E12" s="715">
        <f>A2.4.1!E12/A2.4.1!E$39</f>
        <v>2.2802407137414427E-2</v>
      </c>
      <c r="F12" s="715">
        <f>A2.4.1!F12/A2.4.1!F$39</f>
        <v>3.3965253592476458E-2</v>
      </c>
      <c r="G12" s="716">
        <f>A2.4.1!G12/A2.4.1!G$39</f>
        <v>2.4943302533198031E-2</v>
      </c>
      <c r="H12" s="715">
        <f>A2.4.1!H12/A2.4.1!H$39</f>
        <v>2.2801442017360327E-2</v>
      </c>
      <c r="I12" s="715">
        <f>A2.4.1!I12/A2.4.1!I$39</f>
        <v>3.3965253591340429E-2</v>
      </c>
      <c r="J12" s="716">
        <f>A2.4.1!J12/A2.4.1!J$39</f>
        <v>2.4943302518177543E-2</v>
      </c>
      <c r="K12" s="715">
        <f>A2.4.1!K12/A2.4.1!K$39</f>
        <v>2.2886939826329798E-2</v>
      </c>
      <c r="L12" s="715">
        <f>A2.4.1!L12/A2.4.1!L$39</f>
        <v>3.1563704526622979E-2</v>
      </c>
      <c r="M12" s="716">
        <f>A2.4.1!M12/A2.4.1!M$39</f>
        <v>2.3517204228243372E-2</v>
      </c>
      <c r="N12" s="715">
        <f>A2.4.1!N12/A2.4.1!N$39</f>
        <v>2.7822686509417015E-2</v>
      </c>
      <c r="O12" s="715">
        <f>A2.4.1!O12/A2.4.1!O$39</f>
        <v>3.7443994751377177E-2</v>
      </c>
      <c r="P12" s="716">
        <f>A2.4.1!P12/A2.4.1!P$39</f>
        <v>2.7927385086887788E-2</v>
      </c>
    </row>
    <row r="13" spans="2:16" s="1" customFormat="1" ht="13.35" customHeight="1" x14ac:dyDescent="0.2">
      <c r="B13" s="26"/>
      <c r="C13" s="16" t="s">
        <v>134</v>
      </c>
      <c r="D13" s="338"/>
      <c r="E13" s="715">
        <f>A2.4.1!E13/A2.4.1!E$39</f>
        <v>2.7839276178819351E-3</v>
      </c>
      <c r="F13" s="715">
        <f>A2.4.1!F13/A2.4.1!F$39</f>
        <v>3.9005006027207981E-3</v>
      </c>
      <c r="G13" s="716">
        <f>A2.4.1!G13/A2.4.1!G$39</f>
        <v>3.195191825238869E-3</v>
      </c>
      <c r="H13" s="715">
        <f>A2.4.1!H13/A2.4.1!H$39</f>
        <v>2.7846062816813777E-3</v>
      </c>
      <c r="I13" s="715">
        <f>A2.4.1!I13/A2.4.1!I$39</f>
        <v>3.900500593491475E-3</v>
      </c>
      <c r="J13" s="716">
        <f>A2.4.1!J13/A2.4.1!J$39</f>
        <v>3.1951918311494188E-3</v>
      </c>
      <c r="K13" s="715">
        <f>A2.4.1!K13/A2.4.1!K$39</f>
        <v>2.7646351118009714E-3</v>
      </c>
      <c r="L13" s="715">
        <f>A2.4.1!L13/A2.4.1!L$39</f>
        <v>4.7532031997819116E-3</v>
      </c>
      <c r="M13" s="716">
        <f>A2.4.1!M13/A2.4.1!M$39</f>
        <v>4.107140697642243E-3</v>
      </c>
      <c r="N13" s="715">
        <f>A2.4.1!N13/A2.4.1!N$39</f>
        <v>2.7670687725407286E-3</v>
      </c>
      <c r="O13" s="715">
        <f>A2.4.1!O13/A2.4.1!O$39</f>
        <v>4.1721423214977505E-3</v>
      </c>
      <c r="P13" s="716">
        <f>A2.4.1!P13/A2.4.1!P$39</f>
        <v>3.6364558531526976E-3</v>
      </c>
    </row>
    <row r="14" spans="2:16" s="1" customFormat="1" ht="13.35" customHeight="1" x14ac:dyDescent="0.2">
      <c r="B14" s="26"/>
      <c r="C14" s="16" t="s">
        <v>135</v>
      </c>
      <c r="D14" s="338"/>
      <c r="E14" s="715">
        <f>A2.4.1!E14/A2.4.1!E$39</f>
        <v>0.25369140402349538</v>
      </c>
      <c r="F14" s="715">
        <f>A2.4.1!F14/A2.4.1!F$39</f>
        <v>0.35903821119460666</v>
      </c>
      <c r="G14" s="716">
        <f>A2.4.1!G14/A2.4.1!G$39</f>
        <v>0.3388202272101542</v>
      </c>
      <c r="H14" s="715">
        <f>A2.4.1!H14/A2.4.1!H$39</f>
        <v>0.25369196703611752</v>
      </c>
      <c r="I14" s="715">
        <f>A2.4.1!I14/A2.4.1!I$39</f>
        <v>0.35903821118412271</v>
      </c>
      <c r="J14" s="716">
        <f>A2.4.1!J14/A2.4.1!J$39</f>
        <v>0.33882022720120192</v>
      </c>
      <c r="K14" s="715">
        <f>A2.4.1!K14/A2.4.1!K$39</f>
        <v>0.27571547011264252</v>
      </c>
      <c r="L14" s="715">
        <f>A2.4.1!L14/A2.4.1!L$39</f>
        <v>0.38028867651899501</v>
      </c>
      <c r="M14" s="716">
        <f>A2.4.1!M14/A2.4.1!M$39</f>
        <v>0.35963971575880793</v>
      </c>
      <c r="N14" s="715">
        <f>A2.4.1!N14/A2.4.1!N$39</f>
        <v>0.29980032887009633</v>
      </c>
      <c r="O14" s="715">
        <f>A2.4.1!O14/A2.4.1!O$39</f>
        <v>0.38293910899028516</v>
      </c>
      <c r="P14" s="716">
        <f>A2.4.1!P14/A2.4.1!P$39</f>
        <v>0.35876662204311571</v>
      </c>
    </row>
    <row r="15" spans="2:16" customFormat="1" ht="13.35" customHeight="1" x14ac:dyDescent="0.2">
      <c r="B15" s="26"/>
      <c r="C15" s="16" t="s">
        <v>114</v>
      </c>
      <c r="D15" s="338"/>
      <c r="E15" s="715">
        <f>A2.4.1!E15/A2.4.1!E$39</f>
        <v>5.6788523498389042E-3</v>
      </c>
      <c r="F15" s="715">
        <f>A2.4.1!F15/A2.4.1!F$39</f>
        <v>5.902463510533089E-3</v>
      </c>
      <c r="G15" s="716">
        <f>A2.4.1!G15/A2.4.1!G$39</f>
        <v>5.5514569217404016E-3</v>
      </c>
      <c r="H15" s="715">
        <f>A2.4.1!H15/A2.4.1!H$39</f>
        <v>5.6790108395298198E-3</v>
      </c>
      <c r="I15" s="715">
        <f>A2.4.1!I15/A2.4.1!I$39</f>
        <v>5.902463513715186E-3</v>
      </c>
      <c r="J15" s="716">
        <f>A2.4.1!J15/A2.4.1!J$39</f>
        <v>5.551456893743722E-3</v>
      </c>
      <c r="K15" s="715">
        <f>A2.4.1!K15/A2.4.1!K$39</f>
        <v>5.494985008010273E-3</v>
      </c>
      <c r="L15" s="715">
        <f>A2.4.1!L15/A2.4.1!L$39</f>
        <v>6.0045302160313518E-3</v>
      </c>
      <c r="M15" s="716">
        <f>A2.4.1!M15/A2.4.1!M$39</f>
        <v>5.7655629550123055E-3</v>
      </c>
      <c r="N15" s="715">
        <f>A2.4.1!N15/A2.4.1!N$39</f>
        <v>6.359767303679752E-3</v>
      </c>
      <c r="O15" s="715">
        <f>A2.4.1!O15/A2.4.1!O$39</f>
        <v>1.0386353505102299E-2</v>
      </c>
      <c r="P15" s="716">
        <f>A2.4.1!P15/A2.4.1!P$39</f>
        <v>9.6365060567012127E-3</v>
      </c>
    </row>
    <row r="16" spans="2:16" customFormat="1" ht="13.35" customHeight="1" x14ac:dyDescent="0.2">
      <c r="B16" s="26"/>
      <c r="C16" s="16" t="s">
        <v>424</v>
      </c>
      <c r="D16" s="338"/>
      <c r="E16" s="715">
        <f>A2.4.1!E16/A2.4.1!E$39</f>
        <v>3.3899118622915804E-4</v>
      </c>
      <c r="F16" s="715">
        <f>A2.4.1!F16/A2.4.1!F$39</f>
        <v>1.6725630695033184E-4</v>
      </c>
      <c r="G16" s="716">
        <f>A2.4.1!G16/A2.4.1!G$39</f>
        <v>9.1460889297158748E-5</v>
      </c>
      <c r="H16" s="715">
        <f>A2.4.1!H16/A2.4.1!H$39</f>
        <v>3.3854468484844789E-4</v>
      </c>
      <c r="I16" s="715">
        <f>A2.4.1!I16/A2.4.1!I$39</f>
        <v>1.6725630015200474E-4</v>
      </c>
      <c r="J16" s="716">
        <f>A2.4.1!J16/A2.4.1!J$39</f>
        <v>9.1460888492664351E-5</v>
      </c>
      <c r="K16" s="715">
        <f>A2.4.1!K16/A2.4.1!K$39</f>
        <v>2.7116488695229368E-4</v>
      </c>
      <c r="L16" s="715">
        <f>A2.4.1!L16/A2.4.1!L$39</f>
        <v>1.6678664570850371E-4</v>
      </c>
      <c r="M16" s="716">
        <f>A2.4.1!M16/A2.4.1!M$39</f>
        <v>1.3288061325563035E-4</v>
      </c>
      <c r="N16" s="715">
        <f>A2.4.1!N16/A2.4.1!N$39</f>
        <v>3.7308792438751399E-4</v>
      </c>
      <c r="O16" s="715">
        <f>A2.4.1!O16/A2.4.1!O$39</f>
        <v>4.9218009975044504E-4</v>
      </c>
      <c r="P16" s="716">
        <f>A2.4.1!P16/A2.4.1!P$39</f>
        <v>3.8514994801621918E-4</v>
      </c>
    </row>
    <row r="17" spans="2:16" customFormat="1" ht="13.35" customHeight="1" x14ac:dyDescent="0.2">
      <c r="B17" s="26"/>
      <c r="C17" s="16" t="s">
        <v>115</v>
      </c>
      <c r="D17" s="338"/>
      <c r="E17" s="715">
        <f>A2.4.1!E17/A2.4.1!E$39</f>
        <v>2.099945401419563E-4</v>
      </c>
      <c r="F17" s="715">
        <f>A2.4.1!F17/A2.4.1!F$39</f>
        <v>1.3449863408043577E-4</v>
      </c>
      <c r="G17" s="716">
        <f>A2.4.1!G17/A2.4.1!G$39</f>
        <v>1.0218240153722246E-4</v>
      </c>
      <c r="H17" s="715">
        <f>A2.4.1!H17/A2.4.1!H$39</f>
        <v>2.1044669598687302E-4</v>
      </c>
      <c r="I17" s="715">
        <f>A2.4.1!I17/A2.4.1!I$39</f>
        <v>1.3449862407821915E-4</v>
      </c>
      <c r="J17" s="716">
        <f>A2.4.1!J17/A2.4.1!J$39</f>
        <v>1.0218242577233512E-4</v>
      </c>
      <c r="K17" s="715">
        <f>A2.4.1!K17/A2.4.1!K$39</f>
        <v>1.7142607795834659E-4</v>
      </c>
      <c r="L17" s="715">
        <f>A2.4.1!L17/A2.4.1!L$39</f>
        <v>9.8550789995960938E-5</v>
      </c>
      <c r="M17" s="716">
        <f>A2.4.1!M17/A2.4.1!M$39</f>
        <v>8.6771375051399036E-5</v>
      </c>
      <c r="N17" s="715">
        <f>A2.4.1!N17/A2.4.1!N$39</f>
        <v>1.7272589092014535E-5</v>
      </c>
      <c r="O17" s="715">
        <f>A2.4.1!O17/A2.4.1!O$39</f>
        <v>3.5083427565122863E-5</v>
      </c>
      <c r="P17" s="716">
        <f>A2.4.1!P17/A2.4.1!P$39</f>
        <v>3.6138197307763117E-5</v>
      </c>
    </row>
    <row r="18" spans="2:16" customFormat="1" ht="13.35" customHeight="1" x14ac:dyDescent="0.2">
      <c r="B18" s="26"/>
      <c r="C18" s="16" t="s">
        <v>116</v>
      </c>
      <c r="D18" s="338"/>
      <c r="E18" s="715">
        <f>A2.4.1!E18/A2.4.1!E$39</f>
        <v>5.7928493859159659E-3</v>
      </c>
      <c r="F18" s="715">
        <f>A2.4.1!F18/A2.4.1!F$39</f>
        <v>7.2473354446288829E-3</v>
      </c>
      <c r="G18" s="716">
        <f>A2.4.1!G18/A2.4.1!G$39</f>
        <v>6.7071387897801983E-3</v>
      </c>
      <c r="H18" s="715">
        <f>A2.4.1!H18/A2.4.1!H$39</f>
        <v>5.7918590678126356E-3</v>
      </c>
      <c r="I18" s="715">
        <f>A2.4.1!I18/A2.4.1!I$39</f>
        <v>7.2473354438491499E-3</v>
      </c>
      <c r="J18" s="716">
        <f>A2.4.1!J18/A2.4.1!J$39</f>
        <v>6.7071387895639737E-3</v>
      </c>
      <c r="K18" s="715">
        <f>A2.4.1!K18/A2.4.1!K$39</f>
        <v>5.9375759729209136E-3</v>
      </c>
      <c r="L18" s="715">
        <f>A2.4.1!L18/A2.4.1!L$39</f>
        <v>7.7001783048025905E-3</v>
      </c>
      <c r="M18" s="716">
        <f>A2.4.1!M18/A2.4.1!M$39</f>
        <v>6.5916473705389528E-3</v>
      </c>
      <c r="N18" s="715">
        <f>A2.4.1!N18/A2.4.1!N$39</f>
        <v>6.4875844629606596E-3</v>
      </c>
      <c r="O18" s="715">
        <f>A2.4.1!O18/A2.4.1!O$39</f>
        <v>1.1946626237371029E-2</v>
      </c>
      <c r="P18" s="716">
        <f>A2.4.1!P18/A2.4.1!P$39</f>
        <v>1.078641165361076E-2</v>
      </c>
    </row>
    <row r="19" spans="2:16" customFormat="1" ht="13.35" customHeight="1" x14ac:dyDescent="0.2">
      <c r="B19" s="26"/>
      <c r="C19" s="16" t="s">
        <v>136</v>
      </c>
      <c r="D19" s="338"/>
      <c r="E19" s="715">
        <f>A2.4.1!E19/A2.4.1!E$39</f>
        <v>3.1802173143498272E-2</v>
      </c>
      <c r="F19" s="715">
        <f>A2.4.1!F19/A2.4.1!F$39</f>
        <v>7.5677665002005651E-2</v>
      </c>
      <c r="G19" s="716">
        <f>A2.4.1!G19/A2.4.1!G$39</f>
        <v>6.5270455624604512E-2</v>
      </c>
      <c r="H19" s="715">
        <f>A2.4.1!H19/A2.4.1!H$39</f>
        <v>3.1801850710943838E-2</v>
      </c>
      <c r="I19" s="715">
        <f>A2.4.1!I19/A2.4.1!I$39</f>
        <v>7.5677665009754841E-2</v>
      </c>
      <c r="J19" s="716">
        <f>A2.4.1!J19/A2.4.1!J$39</f>
        <v>6.5270455653658979E-2</v>
      </c>
      <c r="K19" s="715">
        <f>A2.4.1!K19/A2.4.1!K$39</f>
        <v>3.3593277604273809E-2</v>
      </c>
      <c r="L19" s="715">
        <f>A2.4.1!L19/A2.4.1!L$39</f>
        <v>7.5326359313913752E-2</v>
      </c>
      <c r="M19" s="716">
        <f>A2.4.1!M19/A2.4.1!M$39</f>
        <v>6.8496359102305462E-2</v>
      </c>
      <c r="N19" s="715">
        <f>A2.4.1!N19/A2.4.1!N$39</f>
        <v>3.578880459865412E-2</v>
      </c>
      <c r="O19" s="715">
        <f>A2.4.1!O19/A2.4.1!O$39</f>
        <v>8.3441631835973501E-2</v>
      </c>
      <c r="P19" s="716">
        <f>A2.4.1!P19/A2.4.1!P$39</f>
        <v>7.5068839296054832E-2</v>
      </c>
    </row>
    <row r="20" spans="2:16" customFormat="1" ht="13.35" customHeight="1" x14ac:dyDescent="0.2">
      <c r="B20" s="26"/>
      <c r="C20" s="16" t="s">
        <v>6</v>
      </c>
      <c r="D20" s="338"/>
      <c r="E20" s="715">
        <f>A2.4.1!E20/A2.4.1!E$39</f>
        <v>5.1538659994840134E-3</v>
      </c>
      <c r="F20" s="715">
        <f>A2.4.1!F20/A2.4.1!F$39</f>
        <v>7.6737626447454963E-3</v>
      </c>
      <c r="G20" s="716">
        <f>A2.4.1!G20/A2.4.1!G$39</f>
        <v>7.2637122878291115E-3</v>
      </c>
      <c r="H20" s="715">
        <f>A2.4.1!H20/A2.4.1!H$39</f>
        <v>5.1544190756205128E-3</v>
      </c>
      <c r="I20" s="715">
        <f>A2.4.1!I20/A2.4.1!I$39</f>
        <v>7.673762641037073E-3</v>
      </c>
      <c r="J20" s="716">
        <f>A2.4.1!J20/A2.4.1!J$39</f>
        <v>7.2637122702238792E-3</v>
      </c>
      <c r="K20" s="715">
        <f>A2.4.1!K20/A2.4.1!K$39</f>
        <v>5.2986242278034393E-3</v>
      </c>
      <c r="L20" s="715">
        <f>A2.4.1!L20/A2.4.1!L$39</f>
        <v>7.1582089346288562E-3</v>
      </c>
      <c r="M20" s="716">
        <f>A2.4.1!M20/A2.4.1!M$39</f>
        <v>6.3578199313056782E-3</v>
      </c>
      <c r="N20" s="715">
        <f>A2.4.1!N20/A2.4.1!N$39</f>
        <v>5.9383161298345978E-3</v>
      </c>
      <c r="O20" s="715">
        <f>A2.4.1!O20/A2.4.1!O$39</f>
        <v>1.0427538823186942E-2</v>
      </c>
      <c r="P20" s="716">
        <f>A2.4.1!P20/A2.4.1!P$39</f>
        <v>8.7897124336847425E-3</v>
      </c>
    </row>
    <row r="21" spans="2:16" customFormat="1" ht="13.35" customHeight="1" x14ac:dyDescent="0.2">
      <c r="B21" s="26"/>
      <c r="C21" s="16" t="s">
        <v>117</v>
      </c>
      <c r="D21" s="338"/>
      <c r="E21" s="715">
        <f>A2.4.1!E21/A2.4.1!E$39</f>
        <v>5.8378482159463854E-3</v>
      </c>
      <c r="F21" s="715">
        <f>A2.4.1!F21/A2.4.1!F$39</f>
        <v>2.023755835281859E-2</v>
      </c>
      <c r="G21" s="716">
        <f>A2.4.1!G21/A2.4.1!G$39</f>
        <v>1.9500200175170811E-2</v>
      </c>
      <c r="H21" s="715">
        <f>A2.4.1!H21/A2.4.1!H$39</f>
        <v>5.8376083495489117E-3</v>
      </c>
      <c r="I21" s="715">
        <f>A2.4.1!I21/A2.4.1!I$39</f>
        <v>2.0237558354592702E-2</v>
      </c>
      <c r="J21" s="716">
        <f>A2.4.1!J21/A2.4.1!J$39</f>
        <v>1.9500200159767549E-2</v>
      </c>
      <c r="K21" s="715">
        <f>A2.4.1!K21/A2.4.1!K$39</f>
        <v>5.8191361372406008E-3</v>
      </c>
      <c r="L21" s="715">
        <f>A2.4.1!L21/A2.4.1!L$39</f>
        <v>2.1624912162883422E-2</v>
      </c>
      <c r="M21" s="716">
        <f>A2.4.1!M21/A2.4.1!M$39</f>
        <v>2.2104066035139681E-2</v>
      </c>
      <c r="N21" s="715">
        <f>A2.4.1!N21/A2.4.1!N$39</f>
        <v>8.3979328165374682E-3</v>
      </c>
      <c r="O21" s="715">
        <f>A2.4.1!O21/A2.4.1!O$39</f>
        <v>2.7778760065554554E-2</v>
      </c>
      <c r="P21" s="716">
        <f>A2.4.1!P21/A2.4.1!P$39</f>
        <v>2.7307048306364788E-2</v>
      </c>
    </row>
    <row r="22" spans="2:16" customFormat="1" ht="13.35" customHeight="1" x14ac:dyDescent="0.2">
      <c r="B22" s="26"/>
      <c r="C22" s="16" t="s">
        <v>118</v>
      </c>
      <c r="D22" s="338"/>
      <c r="E22" s="715">
        <f>A2.4.1!E22/A2.4.1!E$39</f>
        <v>3.8129008645775208E-3</v>
      </c>
      <c r="F22" s="715">
        <f>A2.4.1!F22/A2.4.1!F$39</f>
        <v>2.755281665172683E-3</v>
      </c>
      <c r="G22" s="716">
        <f>A2.4.1!G22/A2.4.1!G$39</f>
        <v>1.9930958728829259E-3</v>
      </c>
      <c r="H22" s="715">
        <f>A2.4.1!H22/A2.4.1!H$39</f>
        <v>3.8124401446897284E-3</v>
      </c>
      <c r="I22" s="715">
        <f>A2.4.1!I22/A2.4.1!I$39</f>
        <v>2.7552816742769022E-3</v>
      </c>
      <c r="J22" s="716">
        <f>A2.4.1!J22/A2.4.1!J$39</f>
        <v>1.9930958529469434E-3</v>
      </c>
      <c r="K22" s="715">
        <f>A2.4.1!K22/A2.4.1!K$39</f>
        <v>3.6404665282790691E-3</v>
      </c>
      <c r="L22" s="715">
        <f>A2.4.1!L22/A2.4.1!L$39</f>
        <v>2.6022553649906522E-3</v>
      </c>
      <c r="M22" s="716">
        <f>A2.4.1!M22/A2.4.1!M$39</f>
        <v>2.013294031034279E-3</v>
      </c>
      <c r="N22" s="715">
        <f>A2.4.1!N22/A2.4.1!N$39</f>
        <v>4.9641421050449774E-3</v>
      </c>
      <c r="O22" s="715">
        <f>A2.4.1!O22/A2.4.1!O$39</f>
        <v>6.5720137847722418E-3</v>
      </c>
      <c r="P22" s="716">
        <f>A2.4.1!P22/A2.4.1!P$39</f>
        <v>5.3437187630907103E-3</v>
      </c>
    </row>
    <row r="23" spans="2:16" customFormat="1" ht="13.35" customHeight="1" x14ac:dyDescent="0.2">
      <c r="B23" s="26"/>
      <c r="C23" s="16" t="s">
        <v>119</v>
      </c>
      <c r="D23" s="338"/>
      <c r="E23" s="715">
        <f>A2.4.1!E23/A2.4.1!E$39</f>
        <v>4.0438948587336728E-3</v>
      </c>
      <c r="F23" s="715">
        <f>A2.4.1!F23/A2.4.1!F$39</f>
        <v>4.1706234006397237E-3</v>
      </c>
      <c r="G23" s="716">
        <f>A2.4.1!G23/A2.4.1!G$39</f>
        <v>2.8742226873167995E-3</v>
      </c>
      <c r="H23" s="715">
        <f>A2.4.1!H23/A2.4.1!H$39</f>
        <v>4.0442365054868638E-3</v>
      </c>
      <c r="I23" s="715">
        <f>A2.4.1!I23/A2.4.1!I$39</f>
        <v>4.1706234044583488E-3</v>
      </c>
      <c r="J23" s="716">
        <f>A2.4.1!J23/A2.4.1!J$39</f>
        <v>2.8742227037031414E-3</v>
      </c>
      <c r="K23" s="715">
        <f>A2.4.1!K23/A2.4.1!K$39</f>
        <v>4.2794182733965425E-3</v>
      </c>
      <c r="L23" s="715">
        <f>A2.4.1!L23/A2.4.1!L$39</f>
        <v>4.3598534644144421E-3</v>
      </c>
      <c r="M23" s="716">
        <f>A2.4.1!M23/A2.4.1!M$39</f>
        <v>3.135654469012266E-3</v>
      </c>
      <c r="N23" s="715">
        <f>A2.4.1!N23/A2.4.1!N$39</f>
        <v>6.3839489284085726E-3</v>
      </c>
      <c r="O23" s="715">
        <f>A2.4.1!O23/A2.4.1!O$39</f>
        <v>7.7383446439223402E-3</v>
      </c>
      <c r="P23" s="716">
        <f>A2.4.1!P23/A2.4.1!P$39</f>
        <v>5.7008826388499998E-3</v>
      </c>
    </row>
    <row r="24" spans="2:16" customFormat="1" ht="13.35" customHeight="1" x14ac:dyDescent="0.2">
      <c r="B24" s="26"/>
      <c r="C24" s="16" t="s">
        <v>120</v>
      </c>
      <c r="D24" s="338"/>
      <c r="E24" s="715">
        <f>A2.4.1!E24/A2.4.1!E$39</f>
        <v>1.8818510718721312E-2</v>
      </c>
      <c r="F24" s="715">
        <f>A2.4.1!F24/A2.4.1!F$39</f>
        <v>6.5610045247655822E-3</v>
      </c>
      <c r="G24" s="716">
        <f>A2.4.1!G24/A2.4.1!G$39</f>
        <v>2.4722381039949362E-3</v>
      </c>
      <c r="H24" s="715">
        <f>A2.4.1!H24/A2.4.1!H$39</f>
        <v>1.8818204554188499E-2</v>
      </c>
      <c r="I24" s="715">
        <f>A2.4.1!I24/A2.4.1!I$39</f>
        <v>6.5610045180901962E-3</v>
      </c>
      <c r="J24" s="716">
        <f>A2.4.1!J24/A2.4.1!J$39</f>
        <v>2.4722381109126947E-3</v>
      </c>
      <c r="K24" s="715">
        <f>A2.4.1!K24/A2.4.1!K$39</f>
        <v>1.732961806269831E-2</v>
      </c>
      <c r="L24" s="715">
        <f>A2.4.1!L24/A2.4.1!L$39</f>
        <v>5.797527796254932E-3</v>
      </c>
      <c r="M24" s="716">
        <f>A2.4.1!M24/A2.4.1!M$39</f>
        <v>2.2443158120381002E-3</v>
      </c>
      <c r="N24" s="715">
        <f>A2.4.1!N24/A2.4.1!N$39</f>
        <v>1.5103151902057511E-2</v>
      </c>
      <c r="O24" s="715">
        <f>A2.4.1!O24/A2.4.1!O$39</f>
        <v>5.3991863485371968E-3</v>
      </c>
      <c r="P24" s="716">
        <f>A2.4.1!P24/A2.4.1!P$39</f>
        <v>2.1201505400712741E-3</v>
      </c>
    </row>
    <row r="25" spans="2:16" customFormat="1" ht="13.35" customHeight="1" x14ac:dyDescent="0.2">
      <c r="B25" s="26"/>
      <c r="C25" s="16" t="s">
        <v>415</v>
      </c>
      <c r="D25" s="338"/>
      <c r="E25" s="715">
        <f>A2.4.1!E25/A2.4.1!E$39</f>
        <v>1.9031505180865299E-2</v>
      </c>
      <c r="F25" s="715">
        <f>A2.4.1!F25/A2.4.1!F$39</f>
        <v>3.6232615247364861E-2</v>
      </c>
      <c r="G25" s="716">
        <f>A2.4.1!G25/A2.4.1!G$39</f>
        <v>2.6858287016270663E-2</v>
      </c>
      <c r="H25" s="715">
        <f>A2.4.1!H25/A2.4.1!H$39</f>
        <v>1.9031701202291123E-2</v>
      </c>
      <c r="I25" s="715">
        <f>A2.4.1!I25/A2.4.1!I$39</f>
        <v>3.6232615241778399E-2</v>
      </c>
      <c r="J25" s="716">
        <f>A2.4.1!J25/A2.4.1!J$39</f>
        <v>2.6858287025636387E-2</v>
      </c>
      <c r="K25" s="715">
        <f>A2.4.1!K25/A2.4.1!K$39</f>
        <v>2.1390857691420594E-2</v>
      </c>
      <c r="L25" s="715">
        <f>A2.4.1!L25/A2.4.1!L$39</f>
        <v>3.9871131477335599E-2</v>
      </c>
      <c r="M25" s="716">
        <f>A2.4.1!M25/A2.4.1!M$39</f>
        <v>3.1148447279716492E-2</v>
      </c>
      <c r="N25" s="715">
        <f>A2.4.1!N25/A2.4.1!N$39</f>
        <v>4.132639666155398E-2</v>
      </c>
      <c r="O25" s="715">
        <f>A2.4.1!O25/A2.4.1!O$39</f>
        <v>6.9454620156367025E-2</v>
      </c>
      <c r="P25" s="716">
        <f>A2.4.1!P25/A2.4.1!P$39</f>
        <v>5.4075770978446146E-2</v>
      </c>
    </row>
    <row r="26" spans="2:16" customFormat="1" ht="13.35" customHeight="1" x14ac:dyDescent="0.2">
      <c r="B26" s="26"/>
      <c r="C26" s="16" t="s">
        <v>137</v>
      </c>
      <c r="D26" s="338"/>
      <c r="E26" s="715">
        <f>A2.4.1!E26/A2.4.1!E$39</f>
        <v>1.3463649945101427E-2</v>
      </c>
      <c r="F26" s="715">
        <f>A2.4.1!F26/A2.4.1!F$39</f>
        <v>1.9044720977613682E-2</v>
      </c>
      <c r="G26" s="716">
        <f>A2.4.1!G26/A2.4.1!G$39</f>
        <v>1.0515080818012572E-2</v>
      </c>
      <c r="H26" s="715">
        <f>A2.4.1!H26/A2.4.1!H$39</f>
        <v>1.3462488638928368E-2</v>
      </c>
      <c r="I26" s="715">
        <f>A2.4.1!I26/A2.4.1!I$39</f>
        <v>1.9044720970508276E-2</v>
      </c>
      <c r="J26" s="716">
        <f>A2.4.1!J26/A2.4.1!J$39</f>
        <v>1.0515080799667131E-2</v>
      </c>
      <c r="K26" s="715">
        <f>A2.4.1!K26/A2.4.1!K$39</f>
        <v>1.5833535927789102E-2</v>
      </c>
      <c r="L26" s="715">
        <f>A2.4.1!L26/A2.4.1!L$39</f>
        <v>2.2447992558674582E-2</v>
      </c>
      <c r="M26" s="716">
        <f>A2.4.1!M26/A2.4.1!M$39</f>
        <v>1.2759484545751536E-2</v>
      </c>
      <c r="N26" s="715">
        <f>A2.4.1!N26/A2.4.1!N$39</f>
        <v>1.5279332310796059E-2</v>
      </c>
      <c r="O26" s="715">
        <f>A2.4.1!O26/A2.4.1!O$39</f>
        <v>1.7571171550464452E-2</v>
      </c>
      <c r="P26" s="716">
        <f>A2.4.1!P26/A2.4.1!P$39</f>
        <v>1.1358617790397691E-2</v>
      </c>
    </row>
    <row r="27" spans="2:16" customFormat="1" ht="13.35" customHeight="1" x14ac:dyDescent="0.2">
      <c r="B27" s="26"/>
      <c r="C27" s="16" t="s">
        <v>121</v>
      </c>
      <c r="D27" s="338"/>
      <c r="E27" s="715">
        <f>A2.4.1!E27/A2.4.1!E$39</f>
        <v>1.7909534352106846E-3</v>
      </c>
      <c r="F27" s="715">
        <f>A2.4.1!F27/A2.4.1!F$39</f>
        <v>2.1064291142389112E-3</v>
      </c>
      <c r="G27" s="716">
        <f>A2.4.1!G27/A2.4.1!G$39</f>
        <v>1.5444171805087707E-3</v>
      </c>
      <c r="H27" s="715">
        <f>A2.4.1!H27/A2.4.1!H$39</f>
        <v>1.7903218919462964E-3</v>
      </c>
      <c r="I27" s="715">
        <f>A2.4.1!I27/A2.4.1!I$39</f>
        <v>2.1064291200969931E-3</v>
      </c>
      <c r="J27" s="716">
        <f>A2.4.1!J27/A2.4.1!J$39</f>
        <v>1.5444171648093001E-3</v>
      </c>
      <c r="K27" s="715">
        <f>A2.4.1!K27/A2.4.1!K$39</f>
        <v>1.69244291511604E-3</v>
      </c>
      <c r="L27" s="715">
        <f>A2.4.1!L27/A2.4.1!L$39</f>
        <v>2.1675478780686895E-3</v>
      </c>
      <c r="M27" s="716">
        <f>A2.4.1!M27/A2.4.1!M$39</f>
        <v>1.7783006069586008E-3</v>
      </c>
      <c r="N27" s="715">
        <f>A2.4.1!N27/A2.4.1!N$39</f>
        <v>2.2385275463250838E-3</v>
      </c>
      <c r="O27" s="715">
        <f>A2.4.1!O27/A2.4.1!O$39</f>
        <v>3.7271913560414966E-3</v>
      </c>
      <c r="P27" s="716">
        <f>A2.4.1!P27/A2.4.1!P$39</f>
        <v>3.2707868826321322E-3</v>
      </c>
    </row>
    <row r="28" spans="2:16" customFormat="1" ht="13.35" customHeight="1" x14ac:dyDescent="0.2">
      <c r="B28" s="26"/>
      <c r="C28" s="16" t="s">
        <v>122</v>
      </c>
      <c r="D28" s="338"/>
      <c r="E28" s="715">
        <f>A2.4.1!E28/A2.4.1!E$39</f>
        <v>0.16410173335493278</v>
      </c>
      <c r="F28" s="715">
        <f>A2.4.1!F28/A2.4.1!F$39</f>
        <v>0.11830478477724846</v>
      </c>
      <c r="G28" s="716">
        <f>A2.4.1!G28/A2.4.1!G$39</f>
        <v>0.10618150274360408</v>
      </c>
      <c r="H28" s="715">
        <f>A2.4.1!H28/A2.4.1!H$39</f>
        <v>0.16410267358802466</v>
      </c>
      <c r="I28" s="715">
        <f>A2.4.1!I28/A2.4.1!I$39</f>
        <v>0.11830478478482942</v>
      </c>
      <c r="J28" s="716">
        <f>A2.4.1!J28/A2.4.1!J$39</f>
        <v>0.10618150274043522</v>
      </c>
      <c r="K28" s="715">
        <f>A2.4.1!K28/A2.4.1!K$39</f>
        <v>0.13047706319076918</v>
      </c>
      <c r="L28" s="715">
        <f>A2.4.1!L28/A2.4.1!L$39</f>
        <v>7.7898797103540501E-2</v>
      </c>
      <c r="M28" s="716">
        <f>A2.4.1!M28/A2.4.1!M$39</f>
        <v>7.0395160750994917E-2</v>
      </c>
      <c r="N28" s="715">
        <f>A2.4.1!N28/A2.4.1!N$39</f>
        <v>7.5533032099379574E-2</v>
      </c>
      <c r="O28" s="715">
        <f>A2.4.1!O28/A2.4.1!O$39</f>
        <v>4.4383073460831451E-2</v>
      </c>
      <c r="P28" s="716">
        <f>A2.4.1!P28/A2.4.1!P$39</f>
        <v>3.5645244727693114E-2</v>
      </c>
    </row>
    <row r="29" spans="2:16" customFormat="1" ht="13.35" customHeight="1" x14ac:dyDescent="0.2">
      <c r="B29" s="26"/>
      <c r="C29" s="16" t="s">
        <v>123</v>
      </c>
      <c r="D29" s="338"/>
      <c r="E29" s="715">
        <f>A2.4.1!E29/A2.4.1!E$39</f>
        <v>5.2498635035489079E-4</v>
      </c>
      <c r="F29" s="715">
        <f>A2.4.1!F29/A2.4.1!F$39</f>
        <v>9.9045969257168008E-4</v>
      </c>
      <c r="G29" s="716">
        <f>A2.4.1!G29/A2.4.1!G$39</f>
        <v>7.9184828432168767E-4</v>
      </c>
      <c r="H29" s="715">
        <f>A2.4.1!H29/A2.4.1!H$39</f>
        <v>5.2459176390930661E-4</v>
      </c>
      <c r="I29" s="715">
        <f>A2.4.1!I29/A2.4.1!I$39</f>
        <v>9.9045969614951234E-4</v>
      </c>
      <c r="J29" s="716">
        <f>A2.4.1!J29/A2.4.1!J$39</f>
        <v>7.9184828654475098E-4</v>
      </c>
      <c r="K29" s="715">
        <f>A2.4.1!K29/A2.4.1!K$39</f>
        <v>5.3297926056140486E-4</v>
      </c>
      <c r="L29" s="715">
        <f>A2.4.1!L29/A2.4.1!L$39</f>
        <v>8.3007929449981956E-4</v>
      </c>
      <c r="M29" s="716">
        <f>A2.4.1!M29/A2.4.1!M$39</f>
        <v>6.4641724879585896E-4</v>
      </c>
      <c r="N29" s="715">
        <f>A2.4.1!N29/A2.4.1!N$39</f>
        <v>7.0817615277259604E-4</v>
      </c>
      <c r="O29" s="715">
        <f>A2.4.1!O29/A2.4.1!O$39</f>
        <v>1.3885978821792766E-3</v>
      </c>
      <c r="P29" s="716">
        <f>A2.4.1!P29/A2.4.1!P$39</f>
        <v>1.1957582200314099E-3</v>
      </c>
    </row>
    <row r="30" spans="2:16" customFormat="1" ht="13.35" customHeight="1" x14ac:dyDescent="0.2">
      <c r="B30" s="26"/>
      <c r="C30" s="16" t="s">
        <v>124</v>
      </c>
      <c r="D30" s="338"/>
      <c r="E30" s="715">
        <f>A2.4.1!E30/A2.4.1!E$39</f>
        <v>4.7398767632041566E-3</v>
      </c>
      <c r="F30" s="715">
        <f>A2.4.1!F30/A2.4.1!F$39</f>
        <v>5.574731666121934E-3</v>
      </c>
      <c r="G30" s="716">
        <f>A2.4.1!G30/A2.4.1!G$39</f>
        <v>4.4351140389364881E-3</v>
      </c>
      <c r="H30" s="715">
        <f>A2.4.1!H30/A2.4.1!H$39</f>
        <v>4.7396255878782703E-3</v>
      </c>
      <c r="I30" s="715">
        <f>A2.4.1!I30/A2.4.1!I$39</f>
        <v>5.5747316703247517E-3</v>
      </c>
      <c r="J30" s="716">
        <f>A2.4.1!J30/A2.4.1!J$39</f>
        <v>4.4351140391861695E-3</v>
      </c>
      <c r="K30" s="715">
        <f>A2.4.1!K30/A2.4.1!K$39</f>
        <v>5.3484936323004136E-3</v>
      </c>
      <c r="L30" s="715">
        <f>A2.4.1!L30/A2.4.1!L$39</f>
        <v>4.5929026225652201E-3</v>
      </c>
      <c r="M30" s="716">
        <f>A2.4.1!M30/A2.4.1!M$39</f>
        <v>4.6435906984873369E-3</v>
      </c>
      <c r="N30" s="715">
        <f>A2.4.1!N30/A2.4.1!N$39</f>
        <v>6.235404662217248E-3</v>
      </c>
      <c r="O30" s="715">
        <f>A2.4.1!O30/A2.4.1!O$39</f>
        <v>6.6345707895910828E-3</v>
      </c>
      <c r="P30" s="716">
        <f>A2.4.1!P30/A2.4.1!P$39</f>
        <v>5.0683955043966484E-3</v>
      </c>
    </row>
    <row r="31" spans="2:16" customFormat="1" ht="13.35" customHeight="1" x14ac:dyDescent="0.2">
      <c r="B31" s="26"/>
      <c r="C31" s="16" t="s">
        <v>130</v>
      </c>
      <c r="D31" s="338"/>
      <c r="E31" s="715">
        <f>A2.4.1!E31/A2.4.1!E$39</f>
        <v>8.1147890154855979E-3</v>
      </c>
      <c r="F31" s="715">
        <f>A2.4.1!F31/A2.4.1!F$39</f>
        <v>4.3973964644425777E-3</v>
      </c>
      <c r="G31" s="716">
        <f>A2.4.1!G31/A2.4.1!G$39</f>
        <v>2.9198881340730468E-3</v>
      </c>
      <c r="H31" s="715">
        <f>A2.4.1!H31/A2.4.1!H$39</f>
        <v>8.1159225800154933E-3</v>
      </c>
      <c r="I31" s="715">
        <f>A2.4.1!I31/A2.4.1!I$39</f>
        <v>4.3973964623110953E-3</v>
      </c>
      <c r="J31" s="716">
        <f>A2.4.1!J31/A2.4.1!J$39</f>
        <v>2.9198881460810928E-3</v>
      </c>
      <c r="K31" s="715">
        <f>A2.4.1!K31/A2.4.1!K$39</f>
        <v>7.5022285390134585E-3</v>
      </c>
      <c r="L31" s="715">
        <f>A2.4.1!L31/A2.4.1!L$39</f>
        <v>4.5958687638785059E-3</v>
      </c>
      <c r="M31" s="716">
        <f>A2.4.1!M31/A2.4.1!M$39</f>
        <v>3.248583811684237E-3</v>
      </c>
      <c r="N31" s="715">
        <f>A2.4.1!N31/A2.4.1!N$39</f>
        <v>6.4495847669582282E-3</v>
      </c>
      <c r="O31" s="715">
        <f>A2.4.1!O31/A2.4.1!O$39</f>
        <v>-2.4420570705583317E-2</v>
      </c>
      <c r="P31" s="716">
        <f>A2.4.1!P31/A2.4.1!P$39</f>
        <v>3.3062076116321822E-3</v>
      </c>
    </row>
    <row r="32" spans="2:16" customFormat="1" ht="13.35" customHeight="1" x14ac:dyDescent="0.2">
      <c r="B32" s="26"/>
      <c r="C32" s="16" t="s">
        <v>7</v>
      </c>
      <c r="D32" s="338"/>
      <c r="E32" s="715">
        <f>A2.4.1!E32/A2.4.1!E$39</f>
        <v>1.2239681768274025E-3</v>
      </c>
      <c r="F32" s="715">
        <f>A2.4.1!F32/A2.4.1!F$39</f>
        <v>1.1820267154262966E-3</v>
      </c>
      <c r="G32" s="716">
        <f>A2.4.1!G32/A2.4.1!G$39</f>
        <v>8.2613250593067001E-4</v>
      </c>
      <c r="H32" s="715">
        <f>A2.4.1!H32/A2.4.1!H$39</f>
        <v>1.2230307984164648E-3</v>
      </c>
      <c r="I32" s="715">
        <f>A2.4.1!I32/A2.4.1!I$39</f>
        <v>1.1820267137445208E-3</v>
      </c>
      <c r="J32" s="716">
        <f>A2.4.1!J32/A2.4.1!J$39</f>
        <v>8.2613252174769294E-4</v>
      </c>
      <c r="K32" s="715">
        <f>A2.4.1!K32/A2.4.1!K$39</f>
        <v>1.2155667346137303E-3</v>
      </c>
      <c r="L32" s="715">
        <f>A2.4.1!L32/A2.4.1!L$39</f>
        <v>1.0910357368683682E-3</v>
      </c>
      <c r="M32" s="716">
        <f>A2.4.1!M32/A2.4.1!M$39</f>
        <v>8.6084633257433793E-4</v>
      </c>
      <c r="N32" s="715">
        <f>A2.4.1!N32/A2.4.1!N$39</f>
        <v>1.3299893600851192E-3</v>
      </c>
      <c r="O32" s="715">
        <f>A2.4.1!O32/A2.4.1!O$39</f>
        <v>1.2582949983889825E-3</v>
      </c>
      <c r="P32" s="716">
        <f>A2.4.1!P32/A2.4.1!P$39</f>
        <v>8.8106403137968431E-4</v>
      </c>
    </row>
    <row r="33" spans="2:16" customFormat="1" ht="13.35" customHeight="1" x14ac:dyDescent="0.2">
      <c r="B33" s="26"/>
      <c r="C33" s="16" t="s">
        <v>125</v>
      </c>
      <c r="D33" s="338"/>
      <c r="E33" s="715">
        <f>A2.4.1!E33/A2.4.1!E$39</f>
        <v>2.0519466493871159E-3</v>
      </c>
      <c r="F33" s="715">
        <f>A2.4.1!F33/A2.4.1!F$39</f>
        <v>-8.730348619181707E-4</v>
      </c>
      <c r="G33" s="716">
        <f>A2.4.1!G33/A2.4.1!G$39</f>
        <v>1.6512868406816578E-4</v>
      </c>
      <c r="H33" s="715">
        <f>A2.4.1!H33/A2.4.1!H$39</f>
        <v>2.0526177739009499E-3</v>
      </c>
      <c r="I33" s="715">
        <f>A2.4.1!I33/A2.4.1!I$39</f>
        <v>-8.7303485455100382E-4</v>
      </c>
      <c r="J33" s="716">
        <f>A2.4.1!J33/A2.4.1!J$39</f>
        <v>1.6512871392808056E-4</v>
      </c>
      <c r="K33" s="715">
        <f>A2.4.1!K33/A2.4.1!K$39</f>
        <v>1.7267281307077093E-3</v>
      </c>
      <c r="L33" s="715">
        <f>A2.4.1!L33/A2.4.1!L$39</f>
        <v>-5.2793554834877892E-4</v>
      </c>
      <c r="M33" s="716">
        <f>A2.4.1!M33/A2.4.1!M$39</f>
        <v>1.6960907817203382E-4</v>
      </c>
      <c r="N33" s="715">
        <f>A2.4.1!N33/A2.4.1!N$39</f>
        <v>1.9276209426688222E-3</v>
      </c>
      <c r="O33" s="715">
        <f>A2.4.1!O33/A2.4.1!O$39</f>
        <v>1.4488879090635773E-3</v>
      </c>
      <c r="P33" s="716">
        <f>A2.4.1!P33/A2.4.1!P$39</f>
        <v>1.3780185557998451E-3</v>
      </c>
    </row>
    <row r="34" spans="2:16" customFormat="1" ht="13.35" customHeight="1" x14ac:dyDescent="0.2">
      <c r="B34" s="26"/>
      <c r="C34" s="16" t="s">
        <v>126</v>
      </c>
      <c r="D34" s="338"/>
      <c r="E34" s="715">
        <f>A2.4.1!E34/A2.4.1!E$39</f>
        <v>4.9873703283714627E-2</v>
      </c>
      <c r="F34" s="715">
        <f>A2.4.1!F34/A2.4.1!F$39</f>
        <v>2.2906910149924426E-2</v>
      </c>
      <c r="G34" s="716">
        <f>A2.4.1!G34/A2.4.1!G$39</f>
        <v>2.2532822600502118E-2</v>
      </c>
      <c r="H34" s="715">
        <f>A2.4.1!H34/A2.4.1!H$39</f>
        <v>4.987281699677315E-2</v>
      </c>
      <c r="I34" s="715">
        <f>A2.4.1!I34/A2.4.1!I$39</f>
        <v>2.2906910144789263E-2</v>
      </c>
      <c r="J34" s="716">
        <f>A2.4.1!J34/A2.4.1!J$39</f>
        <v>2.2532822573757532E-2</v>
      </c>
      <c r="K34" s="715">
        <f>A2.4.1!K34/A2.4.1!K$39</f>
        <v>4.7173339816355915E-2</v>
      </c>
      <c r="L34" s="715">
        <f>A2.4.1!L34/A2.4.1!L$39</f>
        <v>2.5981767414098151E-2</v>
      </c>
      <c r="M34" s="716">
        <f>A2.4.1!M34/A2.4.1!M$39</f>
        <v>2.3669709352839664E-2</v>
      </c>
      <c r="N34" s="715">
        <f>A2.4.1!N34/A2.4.1!N$39</f>
        <v>3.5394989567356192E-2</v>
      </c>
      <c r="O34" s="715">
        <f>A2.4.1!O34/A2.4.1!O$39</f>
        <v>3.0123900624476771E-2</v>
      </c>
      <c r="P34" s="716">
        <f>A2.4.1!P34/A2.4.1!P$39</f>
        <v>2.5584353407696235E-2</v>
      </c>
    </row>
    <row r="35" spans="2:16" customFormat="1" ht="13.35" customHeight="1" x14ac:dyDescent="0.2">
      <c r="B35" s="26"/>
      <c r="C35" s="16" t="s">
        <v>138</v>
      </c>
      <c r="D35" s="338"/>
      <c r="E35" s="715">
        <f>A2.4.1!E35/A2.4.1!E$39</f>
        <v>8.0727901074572062E-3</v>
      </c>
      <c r="F35" s="715">
        <f>A2.4.1!F35/A2.4.1!F$39</f>
        <v>6.9238996151343643E-3</v>
      </c>
      <c r="G35" s="716">
        <f>A2.4.1!G35/A2.4.1!G$39</f>
        <v>5.7648832474046447E-3</v>
      </c>
      <c r="H35" s="715">
        <f>A2.4.1!H35/A2.4.1!H$39</f>
        <v>8.0732232503949695E-3</v>
      </c>
      <c r="I35" s="715">
        <f>A2.4.1!I35/A2.4.1!I$39</f>
        <v>6.9238996071019493E-3</v>
      </c>
      <c r="J35" s="716">
        <f>A2.4.1!J35/A2.4.1!J$39</f>
        <v>5.7648832741849856E-3</v>
      </c>
      <c r="K35" s="715">
        <f>A2.4.1!K35/A2.4.1!K$39</f>
        <v>7.7578092370604477E-3</v>
      </c>
      <c r="L35" s="715">
        <f>A2.4.1!L35/A2.4.1!L$39</f>
        <v>6.6517500690537494E-3</v>
      </c>
      <c r="M35" s="716">
        <f>A2.4.1!M35/A2.4.1!M$39</f>
        <v>5.8915326477311297E-3</v>
      </c>
      <c r="N35" s="715">
        <f>A2.4.1!N35/A2.4.1!N$39</f>
        <v>8.3737511918086475E-3</v>
      </c>
      <c r="O35" s="715">
        <f>A2.4.1!O35/A2.4.1!O$39</f>
        <v>9.7941162640785562E-3</v>
      </c>
      <c r="P35" s="716">
        <f>A2.4.1!P35/A2.4.1!P$39</f>
        <v>8.1868338847316049E-3</v>
      </c>
    </row>
    <row r="36" spans="2:16" customFormat="1" ht="13.35" customHeight="1" x14ac:dyDescent="0.2">
      <c r="B36" s="26"/>
      <c r="C36" s="16" t="s">
        <v>127</v>
      </c>
      <c r="D36" s="338"/>
      <c r="E36" s="715">
        <f>A2.4.1!E36/A2.4.1!E$39</f>
        <v>1.7780537706019645E-2</v>
      </c>
      <c r="F36" s="715">
        <f>A2.4.1!F36/A2.4.1!F$39</f>
        <v>2.3243212734198659E-2</v>
      </c>
      <c r="G36" s="716">
        <f>A2.4.1!G36/A2.4.1!G$39</f>
        <v>1.9252473048725047E-2</v>
      </c>
      <c r="H36" s="715">
        <f>A2.4.1!H36/A2.4.1!H$39</f>
        <v>1.7781220834832894E-2</v>
      </c>
      <c r="I36" s="715">
        <f>A2.4.1!I36/A2.4.1!I$39</f>
        <v>2.3243212731893143E-2</v>
      </c>
      <c r="J36" s="716">
        <f>A2.4.1!J36/A2.4.1!J$39</f>
        <v>1.9252473053973845E-2</v>
      </c>
      <c r="K36" s="715">
        <f>A2.4.1!K36/A2.4.1!K$39</f>
        <v>1.8339473503762024E-2</v>
      </c>
      <c r="L36" s="715">
        <f>A2.4.1!L36/A2.4.1!L$39</f>
        <v>2.3052623092175043E-2</v>
      </c>
      <c r="M36" s="716">
        <f>A2.4.1!M36/A2.4.1!M$39</f>
        <v>1.9551999137430269E-2</v>
      </c>
      <c r="N36" s="715">
        <f>A2.4.1!N36/A2.4.1!N$39</f>
        <v>1.7659495087675663E-2</v>
      </c>
      <c r="O36" s="715">
        <f>A2.4.1!O36/A2.4.1!O$39</f>
        <v>2.7076762486261265E-2</v>
      </c>
      <c r="P36" s="716">
        <f>A2.4.1!P36/A2.4.1!P$39</f>
        <v>2.4150025583061566E-2</v>
      </c>
    </row>
    <row r="37" spans="2:16" customFormat="1" ht="13.35" customHeight="1" x14ac:dyDescent="0.2">
      <c r="B37" s="525"/>
      <c r="C37" s="280" t="s">
        <v>139</v>
      </c>
      <c r="D37" s="434"/>
      <c r="E37" s="717">
        <f>A2.4.1!E37/A2.4.1!E$39</f>
        <v>3.1139190381050093E-3</v>
      </c>
      <c r="F37" s="717">
        <f>A2.4.1!F37/A2.4.1!F$39</f>
        <v>1.7513456580178588E-3</v>
      </c>
      <c r="G37" s="718">
        <f>A2.4.1!G37/A2.4.1!G$39</f>
        <v>1.5682605426127942E-3</v>
      </c>
      <c r="H37" s="717">
        <f>A2.4.1!H37/A2.4.1!H$39</f>
        <v>3.11400111018257E-3</v>
      </c>
      <c r="I37" s="717">
        <f>A2.4.1!I37/A2.4.1!I$39</f>
        <v>1.7513456490466661E-3</v>
      </c>
      <c r="J37" s="718">
        <f>A2.4.1!J37/A2.4.1!J$39</f>
        <v>1.5682605148506247E-3</v>
      </c>
      <c r="K37" s="717">
        <f>A2.4.1!K37/A2.4.1!K$39</f>
        <v>3.0389168365343258E-3</v>
      </c>
      <c r="L37" s="717">
        <f>A2.4.1!L37/A2.4.1!L$39</f>
        <v>2.1382820558448336E-3</v>
      </c>
      <c r="M37" s="718">
        <f>A2.4.1!M37/A2.4.1!M$39</f>
        <v>1.7163148798503894E-3</v>
      </c>
      <c r="N37" s="717">
        <f>A2.4.1!N37/A2.4.1!N$39</f>
        <v>3.1988834998410921E-3</v>
      </c>
      <c r="O37" s="717">
        <f>A2.4.1!O37/A2.4.1!O$39</f>
        <v>2.4505915646494312E-3</v>
      </c>
      <c r="P37" s="718">
        <f>A2.4.1!P37/A2.4.1!P$39</f>
        <v>1.7730355917618937E-3</v>
      </c>
    </row>
    <row r="38" spans="2:16" customFormat="1" ht="13.35" customHeight="1" x14ac:dyDescent="0.2">
      <c r="B38" s="525"/>
      <c r="C38" s="635" t="s">
        <v>8</v>
      </c>
      <c r="D38" s="636"/>
      <c r="E38" s="719">
        <f>A2.4.1!E39/A2.4.1!E$39</f>
        <v>1</v>
      </c>
      <c r="F38" s="719">
        <f>A2.4.1!F39/A2.4.1!F$39</f>
        <v>1</v>
      </c>
      <c r="G38" s="720">
        <f>A2.4.1!G39/A2.4.1!G$39</f>
        <v>1</v>
      </c>
      <c r="H38" s="719">
        <f>A2.4.1!H39/A2.4.1!H$39</f>
        <v>1</v>
      </c>
      <c r="I38" s="719">
        <f>A2.4.1!I39/A2.4.1!I$39</f>
        <v>1</v>
      </c>
      <c r="J38" s="720">
        <f>A2.4.1!J39/A2.4.1!J$39</f>
        <v>1</v>
      </c>
      <c r="K38" s="719">
        <f>A2.4.1!K39/A2.4.1!K$39</f>
        <v>1</v>
      </c>
      <c r="L38" s="719">
        <f>A2.4.1!L39/A2.4.1!L$39</f>
        <v>1</v>
      </c>
      <c r="M38" s="720">
        <f>A2.4.1!M39/A2.4.1!M$39</f>
        <v>1</v>
      </c>
      <c r="N38" s="719">
        <f>A2.4.1!N39/A2.4.1!N$39</f>
        <v>1</v>
      </c>
      <c r="O38" s="719">
        <f>A2.4.1!O39/A2.4.1!O$39</f>
        <v>1</v>
      </c>
      <c r="P38" s="720">
        <f>A2.4.1!P39/A2.4.1!P$39</f>
        <v>1</v>
      </c>
    </row>
    <row r="39" spans="2:16" customFormat="1" ht="13.35" customHeight="1" x14ac:dyDescent="0.2">
      <c r="I39" s="1"/>
    </row>
    <row r="40" spans="2:16" customFormat="1" ht="13.35" customHeight="1" x14ac:dyDescent="0.2">
      <c r="I40" s="352" t="s">
        <v>371</v>
      </c>
    </row>
  </sheetData>
  <mergeCells count="1">
    <mergeCell ref="C3:D3"/>
  </mergeCells>
  <phoneticPr fontId="10" type="noConversion"/>
  <hyperlinks>
    <hyperlink ref="I40" location="CONTENTS!A1" display="BACK TO CONTENTS"/>
  </hyperlinks>
  <pageMargins left="0.98425196850393704" right="0.98425196850393704" top="0.98425196850393704" bottom="0.98425196850393704" header="0.51181102362204722" footer="0.51181102362204722"/>
  <pageSetup paperSize="9" scale="8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enableFormatConditionsCalculation="0">
    <tabColor theme="7" tint="0.79998168889431442"/>
    <pageSetUpPr fitToPage="1"/>
  </sheetPr>
  <dimension ref="B1:L73"/>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4.7109375" style="2" customWidth="1"/>
    <col min="4" max="4" width="36.28515625" style="2" customWidth="1"/>
    <col min="5" max="5" width="10.7109375" style="2" customWidth="1"/>
    <col min="6" max="6" width="10.7109375" style="13" customWidth="1"/>
    <col min="7" max="7" width="10.7109375" style="14" customWidth="1"/>
    <col min="8" max="12" width="10.7109375" style="6" customWidth="1"/>
    <col min="13" max="16384" width="9.140625" style="10"/>
  </cols>
  <sheetData>
    <row r="1" spans="2:12" s="8" customFormat="1" ht="15" customHeight="1" x14ac:dyDescent="0.2">
      <c r="B1" s="439" t="s">
        <v>382</v>
      </c>
      <c r="C1" s="311"/>
      <c r="D1" s="311"/>
      <c r="E1" s="355"/>
      <c r="F1" s="360"/>
      <c r="G1" s="356"/>
      <c r="H1" s="4"/>
      <c r="I1" s="4"/>
      <c r="J1" s="4"/>
      <c r="K1" s="4"/>
      <c r="L1" s="4"/>
    </row>
    <row r="2" spans="2:12" s="8" customFormat="1" ht="15" customHeight="1" x14ac:dyDescent="0.2">
      <c r="B2" s="463"/>
      <c r="C2" s="464" t="s">
        <v>168</v>
      </c>
      <c r="D2" s="465"/>
      <c r="E2" s="466" t="s">
        <v>576</v>
      </c>
      <c r="F2" s="468"/>
      <c r="G2" s="469" t="s">
        <v>577</v>
      </c>
      <c r="H2" s="468"/>
      <c r="I2" s="469" t="s">
        <v>578</v>
      </c>
      <c r="J2" s="468"/>
      <c r="K2" s="1033" t="s">
        <v>579</v>
      </c>
      <c r="L2" s="1020"/>
    </row>
    <row r="3" spans="2:12" ht="24.95" customHeight="1" x14ac:dyDescent="0.2">
      <c r="B3" s="610"/>
      <c r="C3" s="611" t="s">
        <v>467</v>
      </c>
      <c r="D3" s="511"/>
      <c r="E3" s="505" t="s">
        <v>17</v>
      </c>
      <c r="F3" s="507" t="s">
        <v>103</v>
      </c>
      <c r="G3" s="506" t="s">
        <v>17</v>
      </c>
      <c r="H3" s="507" t="s">
        <v>103</v>
      </c>
      <c r="I3" s="506" t="s">
        <v>17</v>
      </c>
      <c r="J3" s="507" t="s">
        <v>103</v>
      </c>
      <c r="K3" s="506" t="s">
        <v>17</v>
      </c>
      <c r="L3" s="507" t="s">
        <v>103</v>
      </c>
    </row>
    <row r="4" spans="2:12" ht="13.35" customHeight="1" x14ac:dyDescent="0.2">
      <c r="B4" s="48"/>
      <c r="C4" s="90">
        <v>3701</v>
      </c>
      <c r="D4" s="16" t="s">
        <v>534</v>
      </c>
      <c r="E4" s="457">
        <v>641135</v>
      </c>
      <c r="F4" s="24">
        <v>34613.694431000004</v>
      </c>
      <c r="G4" s="15">
        <v>592859</v>
      </c>
      <c r="H4" s="24">
        <v>33133.237760000004</v>
      </c>
      <c r="I4" s="15">
        <v>490889</v>
      </c>
      <c r="J4" s="24">
        <v>28168.842290000001</v>
      </c>
      <c r="K4" s="15">
        <v>435627</v>
      </c>
      <c r="L4" s="24">
        <v>26146.005356999998</v>
      </c>
    </row>
    <row r="5" spans="2:12" ht="13.35" customHeight="1" x14ac:dyDescent="0.2">
      <c r="B5" s="48"/>
      <c r="C5" s="90">
        <v>3702</v>
      </c>
      <c r="D5" s="16" t="s">
        <v>128</v>
      </c>
      <c r="E5" s="457">
        <v>156031</v>
      </c>
      <c r="F5" s="24">
        <v>2704.1161139999999</v>
      </c>
      <c r="G5" s="15">
        <v>157940</v>
      </c>
      <c r="H5" s="24">
        <v>2829.5925999999999</v>
      </c>
      <c r="I5" s="15">
        <v>164537</v>
      </c>
      <c r="J5" s="24">
        <v>3222.9879999999998</v>
      </c>
      <c r="K5" s="15">
        <v>164221</v>
      </c>
      <c r="L5" s="24">
        <v>3548.7329420000001</v>
      </c>
    </row>
    <row r="6" spans="2:12" ht="13.35" customHeight="1" x14ac:dyDescent="0.2">
      <c r="B6" s="48"/>
      <c r="C6" s="90">
        <v>3704</v>
      </c>
      <c r="D6" s="16" t="s">
        <v>173</v>
      </c>
      <c r="E6" s="457">
        <v>56066</v>
      </c>
      <c r="F6" s="24">
        <v>273.23209500000002</v>
      </c>
      <c r="G6" s="15">
        <v>50428</v>
      </c>
      <c r="H6" s="24">
        <v>268.10702500000002</v>
      </c>
      <c r="I6" s="15">
        <v>50824</v>
      </c>
      <c r="J6" s="24">
        <v>272.21319999999997</v>
      </c>
      <c r="K6" s="15">
        <v>48057</v>
      </c>
      <c r="L6" s="24">
        <v>315.64769000000001</v>
      </c>
    </row>
    <row r="7" spans="2:12" ht="13.35" customHeight="1" x14ac:dyDescent="0.2">
      <c r="B7" s="48"/>
      <c r="C7" s="90">
        <v>3706</v>
      </c>
      <c r="D7" s="16" t="s">
        <v>70</v>
      </c>
      <c r="E7" s="457">
        <v>2199</v>
      </c>
      <c r="F7" s="24">
        <v>7.0725199999999999</v>
      </c>
      <c r="G7" s="15">
        <v>0</v>
      </c>
      <c r="H7" s="24">
        <v>0</v>
      </c>
      <c r="I7" s="15">
        <v>0</v>
      </c>
      <c r="J7" s="24">
        <v>0</v>
      </c>
      <c r="K7" s="15">
        <v>0</v>
      </c>
      <c r="L7" s="24">
        <v>0</v>
      </c>
    </row>
    <row r="8" spans="2:12" ht="13.35" customHeight="1" x14ac:dyDescent="0.2">
      <c r="B8" s="48"/>
      <c r="C8" s="90">
        <v>3707</v>
      </c>
      <c r="D8" s="16" t="s">
        <v>170</v>
      </c>
      <c r="E8" s="457">
        <v>34444</v>
      </c>
      <c r="F8" s="24">
        <v>5907.9998960000003</v>
      </c>
      <c r="G8" s="15">
        <v>37953</v>
      </c>
      <c r="H8" s="24">
        <v>5228.838006</v>
      </c>
      <c r="I8" s="15">
        <v>37766</v>
      </c>
      <c r="J8" s="24">
        <v>6049.8544060000004</v>
      </c>
      <c r="K8" s="15">
        <v>37357</v>
      </c>
      <c r="L8" s="24">
        <v>7484.0023229999997</v>
      </c>
    </row>
    <row r="9" spans="2:12" ht="13.35" customHeight="1" x14ac:dyDescent="0.2">
      <c r="B9" s="48"/>
      <c r="C9" s="90">
        <v>3708</v>
      </c>
      <c r="D9" s="16" t="s">
        <v>71</v>
      </c>
      <c r="E9" s="457">
        <v>5233</v>
      </c>
      <c r="F9" s="24">
        <v>379.79772100000002</v>
      </c>
      <c r="G9" s="15">
        <v>5260</v>
      </c>
      <c r="H9" s="24">
        <v>344.62196599999999</v>
      </c>
      <c r="I9" s="15">
        <v>4732</v>
      </c>
      <c r="J9" s="24">
        <v>393.13166799999999</v>
      </c>
      <c r="K9" s="15">
        <v>5568</v>
      </c>
      <c r="L9" s="24">
        <v>352.19867499999998</v>
      </c>
    </row>
    <row r="10" spans="2:12" s="50" customFormat="1" ht="13.35" customHeight="1" x14ac:dyDescent="0.2">
      <c r="B10" s="48"/>
      <c r="C10" s="90">
        <v>3710</v>
      </c>
      <c r="D10" s="16" t="s">
        <v>72</v>
      </c>
      <c r="E10" s="457">
        <v>6365</v>
      </c>
      <c r="F10" s="24">
        <v>15.474731</v>
      </c>
      <c r="G10" s="15">
        <v>0</v>
      </c>
      <c r="H10" s="24">
        <v>0</v>
      </c>
      <c r="I10" s="15">
        <v>0</v>
      </c>
      <c r="J10" s="24">
        <v>0</v>
      </c>
      <c r="K10" s="15">
        <v>0</v>
      </c>
      <c r="L10" s="24">
        <v>0</v>
      </c>
    </row>
    <row r="11" spans="2:12" s="1" customFormat="1" ht="13.35" customHeight="1" x14ac:dyDescent="0.2">
      <c r="B11" s="26"/>
      <c r="C11" s="90">
        <v>3711</v>
      </c>
      <c r="D11" s="16" t="s">
        <v>73</v>
      </c>
      <c r="E11" s="457">
        <v>15671</v>
      </c>
      <c r="F11" s="24">
        <v>85.233852999999996</v>
      </c>
      <c r="G11" s="15">
        <v>0</v>
      </c>
      <c r="H11" s="24">
        <v>0</v>
      </c>
      <c r="I11" s="15">
        <v>0</v>
      </c>
      <c r="J11" s="24">
        <v>0</v>
      </c>
      <c r="K11" s="15">
        <v>0</v>
      </c>
      <c r="L11" s="24">
        <v>0</v>
      </c>
    </row>
    <row r="12" spans="2:12" s="1" customFormat="1" ht="13.35" customHeight="1" x14ac:dyDescent="0.2">
      <c r="B12" s="26"/>
      <c r="C12" s="90">
        <v>3712</v>
      </c>
      <c r="D12" s="16" t="s">
        <v>106</v>
      </c>
      <c r="E12" s="457">
        <v>168531</v>
      </c>
      <c r="F12" s="24">
        <v>716.59016899999995</v>
      </c>
      <c r="G12" s="15">
        <v>0</v>
      </c>
      <c r="H12" s="24">
        <v>0</v>
      </c>
      <c r="I12" s="15">
        <v>0</v>
      </c>
      <c r="J12" s="24">
        <v>0</v>
      </c>
      <c r="K12" s="15">
        <v>0</v>
      </c>
      <c r="L12" s="24">
        <v>0</v>
      </c>
    </row>
    <row r="13" spans="2:12" s="1" customFormat="1" ht="13.35" customHeight="1" x14ac:dyDescent="0.2">
      <c r="B13" s="26"/>
      <c r="C13" s="103">
        <v>3713</v>
      </c>
      <c r="D13" s="158" t="s">
        <v>342</v>
      </c>
      <c r="E13" s="457">
        <v>1586290</v>
      </c>
      <c r="F13" s="24">
        <v>24260.674433</v>
      </c>
      <c r="G13" s="15">
        <f>G46</f>
        <v>1875507</v>
      </c>
      <c r="H13" s="24">
        <f t="shared" ref="H13:L13" si="0">H46</f>
        <v>30038.311619</v>
      </c>
      <c r="I13" s="15">
        <f t="shared" si="0"/>
        <v>2041172</v>
      </c>
      <c r="J13" s="24">
        <f t="shared" si="0"/>
        <v>35695.474503999998</v>
      </c>
      <c r="K13" s="15">
        <f t="shared" si="0"/>
        <v>2070689</v>
      </c>
      <c r="L13" s="24">
        <f t="shared" si="0"/>
        <v>39609.198036999995</v>
      </c>
    </row>
    <row r="14" spans="2:12" s="1" customFormat="1" ht="13.35" customHeight="1" x14ac:dyDescent="0.2">
      <c r="B14" s="26"/>
      <c r="C14" s="103"/>
      <c r="D14" s="158" t="s">
        <v>343</v>
      </c>
      <c r="E14" s="457">
        <f t="shared" ref="E14:L14" si="1">E54</f>
        <v>16189</v>
      </c>
      <c r="F14" s="24">
        <f t="shared" si="1"/>
        <v>719.07472400000006</v>
      </c>
      <c r="G14" s="15">
        <f t="shared" si="1"/>
        <v>15168</v>
      </c>
      <c r="H14" s="24">
        <f t="shared" si="1"/>
        <v>937.871173</v>
      </c>
      <c r="I14" s="15">
        <f t="shared" si="1"/>
        <v>18541</v>
      </c>
      <c r="J14" s="24">
        <f t="shared" si="1"/>
        <v>1560.5597759999998</v>
      </c>
      <c r="K14" s="15">
        <f t="shared" si="1"/>
        <v>36374</v>
      </c>
      <c r="L14" s="24">
        <f t="shared" si="1"/>
        <v>5413.1309879999999</v>
      </c>
    </row>
    <row r="15" spans="2:12" s="1" customFormat="1" ht="13.35" customHeight="1" x14ac:dyDescent="0.2">
      <c r="B15" s="525"/>
      <c r="C15" s="612"/>
      <c r="D15" s="353" t="s">
        <v>344</v>
      </c>
      <c r="E15" s="613">
        <f t="shared" ref="E15:L15" si="2">E59</f>
        <v>1123</v>
      </c>
      <c r="F15" s="550">
        <f t="shared" si="2"/>
        <v>143.00932</v>
      </c>
      <c r="G15" s="549">
        <f t="shared" si="2"/>
        <v>1505</v>
      </c>
      <c r="H15" s="550">
        <f t="shared" si="2"/>
        <v>229.96292799999998</v>
      </c>
      <c r="I15" s="549">
        <f t="shared" si="2"/>
        <v>1724</v>
      </c>
      <c r="J15" s="550">
        <f t="shared" si="2"/>
        <v>187.77459300000001</v>
      </c>
      <c r="K15" s="549">
        <f t="shared" si="2"/>
        <v>1808</v>
      </c>
      <c r="L15" s="550">
        <f t="shared" si="2"/>
        <v>200.30621899999997</v>
      </c>
    </row>
    <row r="16" spans="2:12" s="1" customFormat="1" ht="13.35" customHeight="1" x14ac:dyDescent="0.2">
      <c r="B16" s="525"/>
      <c r="C16" s="501" t="s">
        <v>8</v>
      </c>
      <c r="D16" s="276"/>
      <c r="E16" s="614"/>
      <c r="F16" s="346">
        <f>SUM(F4:F15)</f>
        <v>69825.970007000011</v>
      </c>
      <c r="G16" s="584"/>
      <c r="H16" s="346">
        <f>SUM(H4:H15)</f>
        <v>73010.543076999995</v>
      </c>
      <c r="I16" s="584"/>
      <c r="J16" s="346">
        <f>SUM(J4:J15)</f>
        <v>75550.838436999999</v>
      </c>
      <c r="K16" s="584"/>
      <c r="L16" s="346">
        <f>SUM(L4:L15)</f>
        <v>83069.222230999992</v>
      </c>
    </row>
    <row r="17" spans="2:12" s="1" customFormat="1" ht="13.35" customHeight="1" x14ac:dyDescent="0.2">
      <c r="B17" s="340"/>
      <c r="C17" s="582">
        <v>3713</v>
      </c>
      <c r="D17" s="583" t="s">
        <v>348</v>
      </c>
      <c r="E17" s="619">
        <f>E13+E7+E10+E11+E12</f>
        <v>1779056</v>
      </c>
      <c r="F17" s="620">
        <f>F13+F7+F10+F11+F12</f>
        <v>25085.045706000001</v>
      </c>
      <c r="G17" s="549">
        <f t="shared" ref="G17:J17" si="3">G13+G7+G10+G11+G12</f>
        <v>1875507</v>
      </c>
      <c r="H17" s="550">
        <f t="shared" si="3"/>
        <v>30038.311619</v>
      </c>
      <c r="I17" s="549">
        <f t="shared" si="3"/>
        <v>2041172</v>
      </c>
      <c r="J17" s="550">
        <f t="shared" si="3"/>
        <v>35695.474503999998</v>
      </c>
      <c r="K17" s="549">
        <f>K13+K7+K10+K11+K12</f>
        <v>2070689</v>
      </c>
      <c r="L17" s="550">
        <f t="shared" ref="L17" si="4">L13+L7+L10+L11+L12</f>
        <v>39609.198036999995</v>
      </c>
    </row>
    <row r="18" spans="2:12" customFormat="1" ht="13.35" customHeight="1" x14ac:dyDescent="0.2">
      <c r="B18" s="26"/>
      <c r="C18" s="102" t="s">
        <v>87</v>
      </c>
      <c r="D18" s="148"/>
      <c r="E18" s="615"/>
      <c r="F18" s="101"/>
      <c r="G18" s="80"/>
      <c r="H18" s="101"/>
      <c r="I18" s="80"/>
      <c r="J18" s="101"/>
      <c r="K18" s="80"/>
      <c r="L18" s="101"/>
    </row>
    <row r="19" spans="2:12" customFormat="1" ht="13.35" customHeight="1" x14ac:dyDescent="0.2">
      <c r="B19" s="48"/>
      <c r="C19" s="90">
        <v>3701</v>
      </c>
      <c r="D19" s="16" t="s">
        <v>534</v>
      </c>
      <c r="E19" s="616"/>
      <c r="F19" s="552">
        <f>A2.5.1!F4/A2.5.1!F$16</f>
        <v>0.49571376419876445</v>
      </c>
      <c r="G19" s="551"/>
      <c r="H19" s="552">
        <f>A2.5.1!H4/A2.5.1!H$16</f>
        <v>0.45381442684320666</v>
      </c>
      <c r="I19" s="551"/>
      <c r="J19" s="552">
        <f>A2.5.1!J4/A2.5.1!J$16</f>
        <v>0.37284619036345057</v>
      </c>
      <c r="K19" s="551"/>
      <c r="L19" s="552">
        <f>A2.5.1!L4/A2.5.1!L$16</f>
        <v>0.31474961068363971</v>
      </c>
    </row>
    <row r="20" spans="2:12" customFormat="1" ht="13.35" customHeight="1" x14ac:dyDescent="0.2">
      <c r="B20" s="48"/>
      <c r="C20" s="90">
        <v>3702</v>
      </c>
      <c r="D20" s="16" t="s">
        <v>128</v>
      </c>
      <c r="E20" s="616"/>
      <c r="F20" s="552">
        <f>A2.5.1!F5/A2.5.1!F$16</f>
        <v>3.872650983192806E-2</v>
      </c>
      <c r="G20" s="551"/>
      <c r="H20" s="552">
        <f>A2.5.1!H5/A2.5.1!H$16</f>
        <v>3.8755945110773828E-2</v>
      </c>
      <c r="I20" s="551"/>
      <c r="J20" s="552">
        <f>A2.5.1!J5/A2.5.1!J$16</f>
        <v>4.2659857477128742E-2</v>
      </c>
      <c r="K20" s="551"/>
      <c r="L20" s="552">
        <f>A2.5.1!L5/A2.5.1!L$16</f>
        <v>4.2720189821106508E-2</v>
      </c>
    </row>
    <row r="21" spans="2:12" s="21" customFormat="1" ht="13.35" customHeight="1" x14ac:dyDescent="0.2">
      <c r="B21" s="48"/>
      <c r="C21" s="90">
        <v>3704</v>
      </c>
      <c r="D21" s="16" t="s">
        <v>173</v>
      </c>
      <c r="E21" s="616"/>
      <c r="F21" s="552">
        <f>A2.5.1!F6/A2.5.1!F$16</f>
        <v>3.9130440289280432E-3</v>
      </c>
      <c r="G21" s="551"/>
      <c r="H21" s="552">
        <f>A2.5.1!H6/A2.5.1!H$16</f>
        <v>3.6721686170344339E-3</v>
      </c>
      <c r="I21" s="551"/>
      <c r="J21" s="552">
        <f>A2.5.1!J6/A2.5.1!J$16</f>
        <v>3.6030467117448592E-3</v>
      </c>
      <c r="K21" s="551"/>
      <c r="L21" s="552">
        <f>A2.5.1!L6/A2.5.1!L$16</f>
        <v>3.7998151604482673E-3</v>
      </c>
    </row>
    <row r="22" spans="2:12" customFormat="1" ht="13.35" customHeight="1" x14ac:dyDescent="0.2">
      <c r="B22" s="48"/>
      <c r="C22" s="90">
        <v>3706</v>
      </c>
      <c r="D22" s="16" t="s">
        <v>70</v>
      </c>
      <c r="E22" s="616"/>
      <c r="F22" s="552">
        <f>A2.5.1!F7/A2.5.1!F$16</f>
        <v>1.0128781597006077E-4</v>
      </c>
      <c r="G22" s="551"/>
      <c r="H22" s="552">
        <f>A2.5.1!H7/A2.5.1!H$16</f>
        <v>0</v>
      </c>
      <c r="I22" s="551"/>
      <c r="J22" s="552">
        <f>A2.5.1!J7/A2.5.1!J$16</f>
        <v>0</v>
      </c>
      <c r="K22" s="551"/>
      <c r="L22" s="552">
        <f>A2.5.1!L7/A2.5.1!L$16</f>
        <v>0</v>
      </c>
    </row>
    <row r="23" spans="2:12" customFormat="1" ht="13.35" customHeight="1" x14ac:dyDescent="0.2">
      <c r="B23" s="48"/>
      <c r="C23" s="90">
        <v>3707</v>
      </c>
      <c r="D23" s="16" t="s">
        <v>170</v>
      </c>
      <c r="E23" s="616"/>
      <c r="F23" s="552">
        <f>A2.5.1!F8/A2.5.1!F$16</f>
        <v>8.4610351927910582E-2</v>
      </c>
      <c r="G23" s="551"/>
      <c r="H23" s="552">
        <f>A2.5.1!H8/A2.5.1!H$16</f>
        <v>7.1617574471202705E-2</v>
      </c>
      <c r="I23" s="551"/>
      <c r="J23" s="552">
        <f>A2.5.1!J8/A2.5.1!J$16</f>
        <v>8.0076601810909434E-2</v>
      </c>
      <c r="K23" s="551"/>
      <c r="L23" s="552">
        <f>A2.5.1!L8/A2.5.1!L$16</f>
        <v>9.0093564403292317E-2</v>
      </c>
    </row>
    <row r="24" spans="2:12" customFormat="1" ht="13.35" customHeight="1" x14ac:dyDescent="0.2">
      <c r="B24" s="48"/>
      <c r="C24" s="90">
        <v>3708</v>
      </c>
      <c r="D24" s="16" t="s">
        <v>71</v>
      </c>
      <c r="E24" s="616"/>
      <c r="F24" s="552">
        <f>A2.5.1!F9/A2.5.1!F$16</f>
        <v>5.4392043671133471E-3</v>
      </c>
      <c r="G24" s="551"/>
      <c r="H24" s="552">
        <f>A2.5.1!H9/A2.5.1!H$16</f>
        <v>4.720167135814168E-3</v>
      </c>
      <c r="I24" s="551"/>
      <c r="J24" s="552">
        <f>A2.5.1!J9/A2.5.1!J$16</f>
        <v>5.2035381225824899E-3</v>
      </c>
      <c r="K24" s="551"/>
      <c r="L24" s="552">
        <f>A2.5.1!L9/A2.5.1!L$16</f>
        <v>4.2398215071835057E-3</v>
      </c>
    </row>
    <row r="25" spans="2:12" customFormat="1" ht="13.35" customHeight="1" x14ac:dyDescent="0.2">
      <c r="B25" s="48"/>
      <c r="C25" s="90">
        <v>3710</v>
      </c>
      <c r="D25" s="16" t="s">
        <v>72</v>
      </c>
      <c r="E25" s="616"/>
      <c r="F25" s="552">
        <f>A2.5.1!F10/A2.5.1!F$16</f>
        <v>2.2161856109479994E-4</v>
      </c>
      <c r="G25" s="551"/>
      <c r="H25" s="552">
        <f>A2.5.1!H10/A2.5.1!H$16</f>
        <v>0</v>
      </c>
      <c r="I25" s="551"/>
      <c r="J25" s="552">
        <f>A2.5.1!J10/A2.5.1!J$16</f>
        <v>0</v>
      </c>
      <c r="K25" s="551"/>
      <c r="L25" s="552">
        <f>A2.5.1!L10/A2.5.1!L$16</f>
        <v>0</v>
      </c>
    </row>
    <row r="26" spans="2:12" customFormat="1" ht="13.35" customHeight="1" x14ac:dyDescent="0.2">
      <c r="B26" s="26"/>
      <c r="C26" s="90">
        <v>3711</v>
      </c>
      <c r="D26" s="16" t="s">
        <v>73</v>
      </c>
      <c r="E26" s="616"/>
      <c r="F26" s="552">
        <f>A2.5.1!F11/A2.5.1!F$16</f>
        <v>1.220661209453379E-3</v>
      </c>
      <c r="G26" s="551"/>
      <c r="H26" s="552">
        <f>A2.5.1!H11/A2.5.1!H$16</f>
        <v>0</v>
      </c>
      <c r="I26" s="551"/>
      <c r="J26" s="552">
        <f>A2.5.1!J11/A2.5.1!J$16</f>
        <v>0</v>
      </c>
      <c r="K26" s="551"/>
      <c r="L26" s="552">
        <f>A2.5.1!L11/A2.5.1!L$16</f>
        <v>0</v>
      </c>
    </row>
    <row r="27" spans="2:12" customFormat="1" ht="13.35" customHeight="1" x14ac:dyDescent="0.2">
      <c r="B27" s="26"/>
      <c r="C27" s="90">
        <v>3712</v>
      </c>
      <c r="D27" s="16" t="s">
        <v>106</v>
      </c>
      <c r="E27" s="616"/>
      <c r="F27" s="552">
        <f>A2.5.1!F12/A2.5.1!F$16</f>
        <v>1.0262516495340662E-2</v>
      </c>
      <c r="G27" s="551"/>
      <c r="H27" s="552">
        <f>A2.5.1!H12/A2.5.1!H$16</f>
        <v>0</v>
      </c>
      <c r="I27" s="551"/>
      <c r="J27" s="552">
        <f>A2.5.1!J12/A2.5.1!J$16</f>
        <v>0</v>
      </c>
      <c r="K27" s="551"/>
      <c r="L27" s="552">
        <f>A2.5.1!L12/A2.5.1!L$16</f>
        <v>0</v>
      </c>
    </row>
    <row r="28" spans="2:12" customFormat="1" ht="13.35" customHeight="1" x14ac:dyDescent="0.2">
      <c r="B28" s="26"/>
      <c r="C28" s="103">
        <v>3713</v>
      </c>
      <c r="D28" s="27" t="s">
        <v>74</v>
      </c>
      <c r="E28" s="616"/>
      <c r="F28" s="552">
        <f>A2.5.1!F13/A2.5.1!F$16</f>
        <v>0.34744486085288728</v>
      </c>
      <c r="G28" s="551"/>
      <c r="H28" s="552">
        <f>A2.5.1!H13/A2.5.1!H$16</f>
        <v>0.41142430056054141</v>
      </c>
      <c r="I28" s="551"/>
      <c r="J28" s="552">
        <f>A2.5.1!J13/A2.5.1!J$16</f>
        <v>0.47246960116485781</v>
      </c>
      <c r="K28" s="551"/>
      <c r="L28" s="552">
        <f>A2.5.1!L13/A2.5.1!L$16</f>
        <v>0.4768215829306095</v>
      </c>
    </row>
    <row r="29" spans="2:12" customFormat="1" ht="13.35" customHeight="1" x14ac:dyDescent="0.2">
      <c r="B29" s="26"/>
      <c r="C29" s="103"/>
      <c r="D29" s="158" t="s">
        <v>4</v>
      </c>
      <c r="E29" s="616"/>
      <c r="F29" s="552">
        <f>A2.5.1!F14/A2.5.1!F$16</f>
        <v>1.0298098600390561E-2</v>
      </c>
      <c r="G29" s="551"/>
      <c r="H29" s="552">
        <f>A2.5.1!H14/A2.5.1!H$16</f>
        <v>1.284569506640817E-2</v>
      </c>
      <c r="I29" s="551"/>
      <c r="J29" s="552">
        <f>A2.5.1!J14/A2.5.1!J$16</f>
        <v>2.0655757213089203E-2</v>
      </c>
      <c r="K29" s="551"/>
      <c r="L29" s="552">
        <f>A2.5.1!L14/A2.5.1!L$16</f>
        <v>6.5164098598962369E-2</v>
      </c>
    </row>
    <row r="30" spans="2:12" customFormat="1" ht="13.35" customHeight="1" x14ac:dyDescent="0.2">
      <c r="B30" s="525"/>
      <c r="C30" s="612"/>
      <c r="D30" s="353" t="s">
        <v>237</v>
      </c>
      <c r="E30" s="617"/>
      <c r="F30" s="554">
        <f>A2.5.1!F15/A2.5.1!F$16</f>
        <v>2.0480821102186395E-3</v>
      </c>
      <c r="G30" s="553"/>
      <c r="H30" s="554">
        <f>A2.5.1!H15/A2.5.1!H$16</f>
        <v>3.1497221950187574E-3</v>
      </c>
      <c r="I30" s="553"/>
      <c r="J30" s="554">
        <f>A2.5.1!J15/A2.5.1!J$16</f>
        <v>2.4854071362368883E-3</v>
      </c>
      <c r="K30" s="553"/>
      <c r="L30" s="554">
        <f>A2.5.1!L15/A2.5.1!L$16</f>
        <v>2.4113168947577936E-3</v>
      </c>
    </row>
    <row r="31" spans="2:12" customFormat="1" ht="13.35" customHeight="1" x14ac:dyDescent="0.2">
      <c r="B31" s="525"/>
      <c r="C31" s="501" t="s">
        <v>8</v>
      </c>
      <c r="D31" s="276"/>
      <c r="E31" s="618"/>
      <c r="F31" s="556">
        <f t="shared" ref="F31:L31" si="5">SUM(F19:F30)</f>
        <v>0.99999999999999989</v>
      </c>
      <c r="G31" s="555"/>
      <c r="H31" s="556">
        <f t="shared" si="5"/>
        <v>1.0000000000000002</v>
      </c>
      <c r="I31" s="555"/>
      <c r="J31" s="556">
        <f t="shared" si="5"/>
        <v>1</v>
      </c>
      <c r="K31" s="555"/>
      <c r="L31" s="556">
        <f t="shared" si="5"/>
        <v>0.99999999999999989</v>
      </c>
    </row>
    <row r="32" spans="2:12" customFormat="1" ht="13.35" customHeight="1" x14ac:dyDescent="0.2">
      <c r="B32" s="340"/>
      <c r="C32" s="582">
        <v>3713</v>
      </c>
      <c r="D32" s="583" t="s">
        <v>345</v>
      </c>
      <c r="E32" s="617"/>
      <c r="F32" s="554">
        <f>F17/F16</f>
        <v>0.35925094493474619</v>
      </c>
      <c r="G32" s="553"/>
      <c r="H32" s="554">
        <f>H17/H16</f>
        <v>0.41142430056054141</v>
      </c>
      <c r="I32" s="553"/>
      <c r="J32" s="554">
        <f>J17/J16</f>
        <v>0.47246960116485781</v>
      </c>
      <c r="K32" s="553"/>
      <c r="L32" s="554">
        <f>L17/L16</f>
        <v>0.4768215829306095</v>
      </c>
    </row>
    <row r="33" spans="2:12" customFormat="1" ht="12" customHeight="1" x14ac:dyDescent="0.2">
      <c r="B33" s="1"/>
      <c r="C33" s="29" t="s">
        <v>165</v>
      </c>
      <c r="D33" s="1"/>
      <c r="E33" s="1"/>
      <c r="F33" s="1"/>
      <c r="G33" s="1"/>
      <c r="H33" s="1"/>
      <c r="I33" s="1"/>
      <c r="J33" s="1"/>
      <c r="K33" s="1"/>
      <c r="L33" s="1"/>
    </row>
    <row r="34" spans="2:12" customFormat="1" ht="12" customHeight="1" x14ac:dyDescent="0.2">
      <c r="B34" s="1"/>
      <c r="C34" s="29" t="s">
        <v>568</v>
      </c>
      <c r="D34" s="1"/>
      <c r="E34" s="1"/>
      <c r="F34" s="1"/>
      <c r="G34" s="1"/>
      <c r="H34" s="1"/>
      <c r="I34" s="1"/>
      <c r="J34" s="1"/>
      <c r="K34" s="1"/>
      <c r="L34" s="1"/>
    </row>
    <row r="35" spans="2:12" customFormat="1" ht="12" customHeight="1" x14ac:dyDescent="0.2">
      <c r="B35" s="1"/>
      <c r="C35" s="29" t="s">
        <v>347</v>
      </c>
      <c r="D35" s="1"/>
      <c r="E35" s="1"/>
      <c r="F35" s="1"/>
      <c r="G35" s="1"/>
      <c r="H35" s="1"/>
      <c r="I35" s="1"/>
      <c r="J35" s="1"/>
      <c r="K35" s="1"/>
      <c r="L35" s="1"/>
    </row>
    <row r="36" spans="2:12" customFormat="1" ht="12" customHeight="1" x14ac:dyDescent="0.2">
      <c r="B36" s="1"/>
      <c r="C36" s="29" t="s">
        <v>346</v>
      </c>
      <c r="D36" s="1"/>
      <c r="E36" s="1"/>
      <c r="F36" s="1"/>
      <c r="G36" s="147"/>
      <c r="H36" s="1"/>
      <c r="I36" s="1"/>
      <c r="J36" s="1"/>
      <c r="K36" s="1"/>
      <c r="L36" s="1"/>
    </row>
    <row r="37" spans="2:12" customFormat="1" ht="13.35" customHeight="1" x14ac:dyDescent="0.2">
      <c r="B37" s="1"/>
      <c r="C37" s="2"/>
      <c r="D37" s="1"/>
      <c r="E37" s="1"/>
      <c r="F37" s="1"/>
      <c r="G37" s="1"/>
      <c r="H37" s="1"/>
      <c r="I37" s="1"/>
      <c r="J37" s="1"/>
      <c r="K37" s="1"/>
      <c r="L37" s="1"/>
    </row>
    <row r="38" spans="2:12" s="1" customFormat="1" ht="13.35" customHeight="1" x14ac:dyDescent="0.2">
      <c r="F38" s="352" t="s">
        <v>371</v>
      </c>
    </row>
    <row r="39" spans="2:12" s="1" customFormat="1" ht="13.35" customHeight="1" x14ac:dyDescent="0.2"/>
    <row r="40" spans="2:12" customFormat="1" ht="13.35" customHeight="1" x14ac:dyDescent="0.2">
      <c r="I40" s="1"/>
    </row>
    <row r="41" spans="2:12" customFormat="1" ht="13.35" hidden="1" customHeight="1" x14ac:dyDescent="0.2">
      <c r="E41" s="105">
        <f>E16/A2.1.1!E29</f>
        <v>0</v>
      </c>
      <c r="F41" s="104"/>
      <c r="G41" s="105">
        <f>G16/A2.1.1!H29</f>
        <v>0</v>
      </c>
      <c r="H41" s="104"/>
      <c r="I41" s="105">
        <f>I16/A2.1.1!K29</f>
        <v>0</v>
      </c>
      <c r="J41" s="104"/>
      <c r="K41" s="105">
        <f>K16/A2.1.1!N29</f>
        <v>0</v>
      </c>
    </row>
    <row r="42" spans="2:12" customFormat="1" ht="13.35" hidden="1" customHeight="1" x14ac:dyDescent="0.2">
      <c r="F42" s="138">
        <f>+F16+A2.6.1!F16</f>
        <v>85788.605754000018</v>
      </c>
      <c r="I42" s="6"/>
      <c r="J42" s="6"/>
      <c r="L42" s="105">
        <f>AVERAGE(E41,G41,I41,K41)</f>
        <v>0</v>
      </c>
    </row>
    <row r="43" spans="2:12" customFormat="1" ht="13.35" hidden="1" customHeight="1" x14ac:dyDescent="0.2">
      <c r="D43" s="2"/>
      <c r="E43" s="138" t="e">
        <f>AVERAGE(E16,G16,I16,K16)</f>
        <v>#DIV/0!</v>
      </c>
      <c r="F43" s="13"/>
      <c r="G43" s="14"/>
      <c r="H43" s="6"/>
      <c r="I43" s="6"/>
      <c r="J43" s="6"/>
      <c r="K43" s="6"/>
      <c r="L43" s="105">
        <f>L16/F16-1</f>
        <v>0.1896608414129064</v>
      </c>
    </row>
    <row r="44" spans="2:12" customFormat="1" ht="13.35" hidden="1" customHeight="1" x14ac:dyDescent="0.2">
      <c r="D44" s="2"/>
      <c r="E44" s="2"/>
      <c r="F44" s="13"/>
      <c r="G44" s="14"/>
      <c r="H44" s="6"/>
      <c r="I44" s="6"/>
      <c r="J44" s="6"/>
      <c r="K44" s="6"/>
      <c r="L44" s="6"/>
    </row>
    <row r="45" spans="2:12" customFormat="1" ht="13.35" hidden="1" customHeight="1" x14ac:dyDescent="0.2">
      <c r="D45" s="2"/>
      <c r="E45" s="2"/>
      <c r="F45" s="13"/>
      <c r="G45" s="14"/>
      <c r="H45" s="6"/>
      <c r="I45" s="6"/>
      <c r="J45" s="6"/>
      <c r="K45" s="6"/>
      <c r="L45" s="6"/>
    </row>
    <row r="46" spans="2:12" customFormat="1" ht="13.35" hidden="1" customHeight="1" x14ac:dyDescent="0.2">
      <c r="D46" s="680" t="s">
        <v>441</v>
      </c>
      <c r="E46" s="193">
        <f t="shared" ref="E46:L46" si="6">SUM(E47:E51)</f>
        <v>0</v>
      </c>
      <c r="F46" s="193">
        <f t="shared" si="6"/>
        <v>0</v>
      </c>
      <c r="G46" s="193">
        <f t="shared" si="6"/>
        <v>1875507</v>
      </c>
      <c r="H46" s="193">
        <f t="shared" si="6"/>
        <v>30038.311619</v>
      </c>
      <c r="I46" s="193">
        <f t="shared" si="6"/>
        <v>2041172</v>
      </c>
      <c r="J46" s="193">
        <f t="shared" si="6"/>
        <v>35695.474503999998</v>
      </c>
      <c r="K46" s="193">
        <f t="shared" si="6"/>
        <v>2070689</v>
      </c>
      <c r="L46" s="194">
        <f t="shared" si="6"/>
        <v>39609.198036999995</v>
      </c>
    </row>
    <row r="47" spans="2:12" customFormat="1" ht="13.35" hidden="1" customHeight="1" x14ac:dyDescent="0.2">
      <c r="D47" s="184" t="s">
        <v>437</v>
      </c>
      <c r="E47" s="186">
        <v>0</v>
      </c>
      <c r="F47" s="186">
        <v>0</v>
      </c>
      <c r="G47" s="186">
        <v>44</v>
      </c>
      <c r="H47" s="186">
        <v>0.16167200000000001</v>
      </c>
      <c r="I47" s="186">
        <v>26</v>
      </c>
      <c r="J47" s="186">
        <v>0.25300899999999998</v>
      </c>
      <c r="K47" s="186">
        <v>13</v>
      </c>
      <c r="L47" s="187">
        <v>9.5639000000000002E-2</v>
      </c>
    </row>
    <row r="48" spans="2:12" customFormat="1" ht="13.35" hidden="1" customHeight="1" x14ac:dyDescent="0.2">
      <c r="D48" s="184" t="s">
        <v>438</v>
      </c>
      <c r="E48" s="186">
        <v>0</v>
      </c>
      <c r="F48" s="186">
        <v>0</v>
      </c>
      <c r="G48" s="186">
        <v>80</v>
      </c>
      <c r="H48" s="186">
        <v>1.463862</v>
      </c>
      <c r="I48" s="186">
        <v>65</v>
      </c>
      <c r="J48" s="186">
        <v>0.89120900000000003</v>
      </c>
      <c r="K48" s="186">
        <v>47</v>
      </c>
      <c r="L48" s="187">
        <v>0.72362400000000004</v>
      </c>
    </row>
    <row r="49" spans="4:12" customFormat="1" ht="13.35" hidden="1" customHeight="1" x14ac:dyDescent="0.2">
      <c r="D49" s="184" t="s">
        <v>439</v>
      </c>
      <c r="E49" s="186">
        <v>0</v>
      </c>
      <c r="F49" s="186">
        <v>0</v>
      </c>
      <c r="G49" s="186">
        <v>94</v>
      </c>
      <c r="H49" s="186">
        <v>0.57316299999999998</v>
      </c>
      <c r="I49" s="186">
        <v>24</v>
      </c>
      <c r="J49" s="186">
        <v>0.19575999999999999</v>
      </c>
      <c r="K49" s="186">
        <v>14</v>
      </c>
      <c r="L49" s="187">
        <v>0.196686</v>
      </c>
    </row>
    <row r="50" spans="4:12" customFormat="1" ht="13.35" hidden="1" customHeight="1" x14ac:dyDescent="0.2">
      <c r="D50" s="184" t="s">
        <v>440</v>
      </c>
      <c r="E50" s="186">
        <v>0</v>
      </c>
      <c r="F50" s="186">
        <v>0</v>
      </c>
      <c r="G50" s="186">
        <v>970</v>
      </c>
      <c r="H50" s="186">
        <v>6.3071900000000003</v>
      </c>
      <c r="I50" s="186">
        <v>235</v>
      </c>
      <c r="J50" s="186">
        <v>1.8875409999999999</v>
      </c>
      <c r="K50" s="186">
        <v>170</v>
      </c>
      <c r="L50" s="187">
        <v>1.566038</v>
      </c>
    </row>
    <row r="51" spans="4:12" customFormat="1" ht="13.35" hidden="1" customHeight="1" x14ac:dyDescent="0.2">
      <c r="D51" s="185" t="s">
        <v>442</v>
      </c>
      <c r="E51" s="188">
        <v>0</v>
      </c>
      <c r="F51" s="188">
        <v>0</v>
      </c>
      <c r="G51" s="188">
        <v>1874319</v>
      </c>
      <c r="H51" s="188">
        <v>30029.805732000001</v>
      </c>
      <c r="I51" s="188">
        <v>2040822</v>
      </c>
      <c r="J51" s="188">
        <v>35692.246984999998</v>
      </c>
      <c r="K51" s="188">
        <v>2070445</v>
      </c>
      <c r="L51" s="189">
        <v>39606.616049999997</v>
      </c>
    </row>
    <row r="52" spans="4:12" customFormat="1" ht="13.35" hidden="1" customHeight="1" x14ac:dyDescent="0.2">
      <c r="D52" s="2"/>
      <c r="E52" s="2"/>
      <c r="F52" s="13"/>
      <c r="G52" s="14"/>
      <c r="H52" s="6"/>
      <c r="I52" s="6"/>
      <c r="J52" s="6"/>
      <c r="K52" s="6"/>
      <c r="L52" s="6"/>
    </row>
    <row r="53" spans="4:12" customFormat="1" ht="13.35" hidden="1" customHeight="1" x14ac:dyDescent="0.2">
      <c r="D53" s="2"/>
      <c r="E53" s="2"/>
      <c r="F53" s="13"/>
      <c r="G53" s="14"/>
      <c r="H53" s="6"/>
      <c r="I53" s="6"/>
      <c r="J53" s="6"/>
      <c r="K53" s="6"/>
      <c r="L53" s="6"/>
    </row>
    <row r="54" spans="4:12" customFormat="1" ht="13.35" hidden="1" customHeight="1" x14ac:dyDescent="0.2">
      <c r="D54" s="192" t="s">
        <v>4</v>
      </c>
      <c r="E54" s="193">
        <f t="shared" ref="E54:L54" si="7">SUM(E55:E57)</f>
        <v>16189</v>
      </c>
      <c r="F54" s="193">
        <f t="shared" si="7"/>
        <v>719.07472400000006</v>
      </c>
      <c r="G54" s="193">
        <f t="shared" si="7"/>
        <v>15168</v>
      </c>
      <c r="H54" s="193">
        <f t="shared" si="7"/>
        <v>937.871173</v>
      </c>
      <c r="I54" s="193">
        <f t="shared" si="7"/>
        <v>18541</v>
      </c>
      <c r="J54" s="193">
        <f t="shared" si="7"/>
        <v>1560.5597759999998</v>
      </c>
      <c r="K54" s="193">
        <f t="shared" si="7"/>
        <v>36374</v>
      </c>
      <c r="L54" s="194">
        <f t="shared" si="7"/>
        <v>5413.1309879999999</v>
      </c>
    </row>
    <row r="55" spans="4:12" customFormat="1" ht="13.35" hidden="1" customHeight="1" x14ac:dyDescent="0.2">
      <c r="D55" s="184" t="s">
        <v>238</v>
      </c>
      <c r="E55" s="186">
        <v>2573</v>
      </c>
      <c r="F55" s="186">
        <v>54.339021000000002</v>
      </c>
      <c r="G55" s="186">
        <v>3418</v>
      </c>
      <c r="H55" s="186">
        <v>77.279634000000001</v>
      </c>
      <c r="I55" s="186">
        <v>4116</v>
      </c>
      <c r="J55" s="186">
        <v>76.867299000000003</v>
      </c>
      <c r="K55" s="186">
        <v>5278</v>
      </c>
      <c r="L55" s="187">
        <v>81.875416999999999</v>
      </c>
    </row>
    <row r="56" spans="4:12" customFormat="1" ht="13.35" hidden="1" customHeight="1" x14ac:dyDescent="0.2">
      <c r="D56" s="184" t="s">
        <v>239</v>
      </c>
      <c r="E56" s="186">
        <v>1531</v>
      </c>
      <c r="F56" s="186">
        <v>24.291672999999999</v>
      </c>
      <c r="G56" s="186">
        <v>1996</v>
      </c>
      <c r="H56" s="186">
        <v>78.158821000000003</v>
      </c>
      <c r="I56" s="186">
        <v>7825</v>
      </c>
      <c r="J56" s="186">
        <v>279.40875899999998</v>
      </c>
      <c r="K56" s="186">
        <v>6257</v>
      </c>
      <c r="L56" s="187">
        <v>460.60070999999999</v>
      </c>
    </row>
    <row r="57" spans="4:12" customFormat="1" ht="13.35" hidden="1" customHeight="1" x14ac:dyDescent="0.2">
      <c r="D57" s="185" t="s">
        <v>240</v>
      </c>
      <c r="E57" s="188">
        <v>12085</v>
      </c>
      <c r="F57" s="188">
        <v>640.44403</v>
      </c>
      <c r="G57" s="188">
        <v>9754</v>
      </c>
      <c r="H57" s="188">
        <v>782.43271800000002</v>
      </c>
      <c r="I57" s="188">
        <v>6600</v>
      </c>
      <c r="J57" s="188">
        <v>1204.2837179999999</v>
      </c>
      <c r="K57" s="188">
        <v>24839</v>
      </c>
      <c r="L57" s="189">
        <v>4870.654861</v>
      </c>
    </row>
    <row r="58" spans="4:12" customFormat="1" ht="13.35" hidden="1" customHeight="1" x14ac:dyDescent="0.2">
      <c r="E58" s="190"/>
      <c r="F58" s="190"/>
      <c r="G58" s="190"/>
      <c r="H58" s="191"/>
      <c r="I58" s="190"/>
      <c r="J58" s="190"/>
      <c r="K58" s="191"/>
      <c r="L58" s="191"/>
    </row>
    <row r="59" spans="4:12" customFormat="1" ht="13.35" hidden="1" customHeight="1" x14ac:dyDescent="0.2">
      <c r="D59" s="192" t="s">
        <v>237</v>
      </c>
      <c r="E59" s="193">
        <f t="shared" ref="E59:L59" si="8">SUM(E60:E72)</f>
        <v>1123</v>
      </c>
      <c r="F59" s="193">
        <f t="shared" si="8"/>
        <v>143.00932</v>
      </c>
      <c r="G59" s="193">
        <f t="shared" si="8"/>
        <v>1505</v>
      </c>
      <c r="H59" s="193">
        <f t="shared" si="8"/>
        <v>229.96292799999998</v>
      </c>
      <c r="I59" s="193">
        <f t="shared" si="8"/>
        <v>1724</v>
      </c>
      <c r="J59" s="193">
        <f t="shared" si="8"/>
        <v>187.77459300000001</v>
      </c>
      <c r="K59" s="193">
        <f t="shared" si="8"/>
        <v>1808</v>
      </c>
      <c r="L59" s="194">
        <f t="shared" si="8"/>
        <v>200.30621899999997</v>
      </c>
    </row>
    <row r="60" spans="4:12" customFormat="1" ht="13.35" hidden="1" customHeight="1" x14ac:dyDescent="0.2">
      <c r="D60" s="195" t="s">
        <v>241</v>
      </c>
      <c r="E60" s="196">
        <v>274</v>
      </c>
      <c r="F60" s="196">
        <v>12.320385</v>
      </c>
      <c r="G60" s="196">
        <v>309</v>
      </c>
      <c r="H60" s="196">
        <v>13.970708</v>
      </c>
      <c r="I60" s="196">
        <v>391</v>
      </c>
      <c r="J60" s="196">
        <v>19.101880999999999</v>
      </c>
      <c r="K60" s="196">
        <v>300</v>
      </c>
      <c r="L60" s="197">
        <v>14.142994</v>
      </c>
    </row>
    <row r="61" spans="4:12" customFormat="1" ht="13.35" hidden="1" customHeight="1" x14ac:dyDescent="0.2">
      <c r="D61" s="184" t="s">
        <v>242</v>
      </c>
      <c r="E61" s="186">
        <v>51</v>
      </c>
      <c r="F61" s="186">
        <v>1.546432</v>
      </c>
      <c r="G61" s="186">
        <v>55</v>
      </c>
      <c r="H61" s="186">
        <v>1.1905060000000001</v>
      </c>
      <c r="I61" s="186">
        <v>65</v>
      </c>
      <c r="J61" s="186">
        <v>1.01346</v>
      </c>
      <c r="K61" s="186">
        <v>104</v>
      </c>
      <c r="L61" s="187">
        <v>1.8193760000000001</v>
      </c>
    </row>
    <row r="62" spans="4:12" customFormat="1" ht="13.35" hidden="1" customHeight="1" x14ac:dyDescent="0.2">
      <c r="D62" s="184" t="s">
        <v>243</v>
      </c>
      <c r="E62" s="186">
        <v>46</v>
      </c>
      <c r="F62" s="186">
        <v>3.1288969999999998</v>
      </c>
      <c r="G62" s="186">
        <v>56</v>
      </c>
      <c r="H62" s="186">
        <v>1.4184559999999999</v>
      </c>
      <c r="I62" s="186">
        <v>214</v>
      </c>
      <c r="J62" s="186">
        <v>2.2788900000000001</v>
      </c>
      <c r="K62" s="186">
        <v>155</v>
      </c>
      <c r="L62" s="187">
        <v>1.3489059999999999</v>
      </c>
    </row>
    <row r="63" spans="4:12" customFormat="1" ht="13.35" hidden="1" customHeight="1" x14ac:dyDescent="0.2">
      <c r="D63" s="184" t="s">
        <v>244</v>
      </c>
      <c r="E63" s="186">
        <v>1</v>
      </c>
      <c r="F63" s="186">
        <v>1.7500000000000002E-2</v>
      </c>
      <c r="G63" s="186">
        <v>0</v>
      </c>
      <c r="H63" s="186">
        <v>0</v>
      </c>
      <c r="I63" s="186">
        <v>0</v>
      </c>
      <c r="J63" s="186">
        <v>0</v>
      </c>
      <c r="K63" s="186">
        <v>0</v>
      </c>
      <c r="L63" s="187">
        <v>0</v>
      </c>
    </row>
    <row r="64" spans="4:12" customFormat="1" ht="13.35" hidden="1" customHeight="1" x14ac:dyDescent="0.2">
      <c r="D64" s="184" t="s">
        <v>245</v>
      </c>
      <c r="E64" s="186">
        <v>70</v>
      </c>
      <c r="F64" s="186">
        <v>62.388154999999998</v>
      </c>
      <c r="G64" s="186">
        <v>124</v>
      </c>
      <c r="H64" s="186">
        <v>84.523239000000004</v>
      </c>
      <c r="I64" s="186">
        <v>90</v>
      </c>
      <c r="J64" s="186">
        <v>60.006861000000001</v>
      </c>
      <c r="K64" s="186">
        <v>46</v>
      </c>
      <c r="L64" s="187">
        <v>31.418123999999999</v>
      </c>
    </row>
    <row r="65" spans="4:12" customFormat="1" ht="13.35" hidden="1" customHeight="1" x14ac:dyDescent="0.2">
      <c r="D65" s="184" t="s">
        <v>246</v>
      </c>
      <c r="E65" s="186">
        <v>1</v>
      </c>
      <c r="F65" s="186">
        <v>0.194495</v>
      </c>
      <c r="G65" s="186">
        <v>0</v>
      </c>
      <c r="H65" s="186">
        <v>0</v>
      </c>
      <c r="I65" s="186">
        <v>1</v>
      </c>
      <c r="J65" s="186">
        <v>3.6579999999999998E-3</v>
      </c>
      <c r="K65" s="186">
        <v>0</v>
      </c>
      <c r="L65" s="187">
        <v>0</v>
      </c>
    </row>
    <row r="66" spans="4:12" customFormat="1" ht="13.35" hidden="1" customHeight="1" x14ac:dyDescent="0.2">
      <c r="D66" s="184" t="s">
        <v>247</v>
      </c>
      <c r="E66" s="186">
        <v>1</v>
      </c>
      <c r="F66" s="186">
        <v>3.3E-3</v>
      </c>
      <c r="G66" s="186">
        <v>0</v>
      </c>
      <c r="H66" s="186">
        <v>0</v>
      </c>
      <c r="I66" s="186">
        <v>0</v>
      </c>
      <c r="J66" s="186">
        <v>0</v>
      </c>
      <c r="K66" s="186">
        <v>1</v>
      </c>
      <c r="L66" s="187">
        <v>3.1081000000000001E-2</v>
      </c>
    </row>
    <row r="67" spans="4:12" customFormat="1" ht="13.35" hidden="1" customHeight="1" x14ac:dyDescent="0.2">
      <c r="D67" s="184" t="s">
        <v>248</v>
      </c>
      <c r="E67" s="186">
        <v>40</v>
      </c>
      <c r="F67" s="186">
        <v>0.21637600000000001</v>
      </c>
      <c r="G67" s="186">
        <v>0</v>
      </c>
      <c r="H67" s="186">
        <v>0</v>
      </c>
      <c r="I67" s="186">
        <v>0</v>
      </c>
      <c r="J67" s="186">
        <v>0</v>
      </c>
      <c r="K67" s="186">
        <v>1</v>
      </c>
      <c r="L67" s="187">
        <v>2E-3</v>
      </c>
    </row>
    <row r="68" spans="4:12" customFormat="1" ht="13.35" hidden="1" customHeight="1" x14ac:dyDescent="0.2">
      <c r="D68" s="184" t="s">
        <v>249</v>
      </c>
      <c r="E68" s="186">
        <v>44</v>
      </c>
      <c r="F68" s="186">
        <v>0.170547</v>
      </c>
      <c r="G68" s="186">
        <v>3</v>
      </c>
      <c r="H68" s="186">
        <v>3.0397E-2</v>
      </c>
      <c r="I68" s="186">
        <v>1</v>
      </c>
      <c r="J68" s="186">
        <v>7.6020000000000003E-3</v>
      </c>
      <c r="K68" s="186">
        <v>1</v>
      </c>
      <c r="L68" s="187">
        <v>1.1999999999999999E-3</v>
      </c>
    </row>
    <row r="69" spans="4:12" customFormat="1" ht="13.35" hidden="1" customHeight="1" x14ac:dyDescent="0.2">
      <c r="D69" s="184" t="s">
        <v>250</v>
      </c>
      <c r="E69" s="186">
        <v>540</v>
      </c>
      <c r="F69" s="186">
        <v>58.373109999999997</v>
      </c>
      <c r="G69" s="186">
        <v>888</v>
      </c>
      <c r="H69" s="186">
        <v>124.890918</v>
      </c>
      <c r="I69" s="186">
        <v>885</v>
      </c>
      <c r="J69" s="186">
        <v>98.427710000000005</v>
      </c>
      <c r="K69" s="186">
        <v>1087</v>
      </c>
      <c r="L69" s="187">
        <v>142.39535699999999</v>
      </c>
    </row>
    <row r="70" spans="4:12" customFormat="1" ht="13.35" hidden="1" customHeight="1" x14ac:dyDescent="0.2">
      <c r="D70" s="184" t="s">
        <v>251</v>
      </c>
      <c r="E70" s="186">
        <v>24</v>
      </c>
      <c r="F70" s="186">
        <v>1.53559</v>
      </c>
      <c r="G70" s="186">
        <v>55</v>
      </c>
      <c r="H70" s="186">
        <v>2.0964749999999999</v>
      </c>
      <c r="I70" s="186">
        <v>36</v>
      </c>
      <c r="J70" s="186">
        <v>2.928925</v>
      </c>
      <c r="K70" s="186">
        <v>53</v>
      </c>
      <c r="L70" s="187">
        <v>3.2892459999999999</v>
      </c>
    </row>
    <row r="71" spans="4:12" customFormat="1" ht="13.35" hidden="1" customHeight="1" x14ac:dyDescent="0.2">
      <c r="D71" s="184" t="s">
        <v>252</v>
      </c>
      <c r="E71" s="186"/>
      <c r="F71" s="186">
        <v>0</v>
      </c>
      <c r="G71" s="186">
        <v>3</v>
      </c>
      <c r="H71" s="186">
        <v>0.16822100000000001</v>
      </c>
      <c r="I71" s="186"/>
      <c r="J71" s="186">
        <v>0</v>
      </c>
      <c r="K71" s="186">
        <v>1</v>
      </c>
      <c r="L71" s="187">
        <v>0.29084199999999999</v>
      </c>
    </row>
    <row r="72" spans="4:12" customFormat="1" ht="13.35" hidden="1" customHeight="1" x14ac:dyDescent="0.2">
      <c r="D72" s="185" t="s">
        <v>253</v>
      </c>
      <c r="E72" s="188">
        <v>31</v>
      </c>
      <c r="F72" s="188">
        <v>3.1145330000000002</v>
      </c>
      <c r="G72" s="188">
        <v>12</v>
      </c>
      <c r="H72" s="188">
        <v>1.6740079999999999</v>
      </c>
      <c r="I72" s="188">
        <v>41</v>
      </c>
      <c r="J72" s="188">
        <v>4.0056060000000002</v>
      </c>
      <c r="K72" s="188">
        <v>59</v>
      </c>
      <c r="L72" s="189">
        <v>5.5670929999999998</v>
      </c>
    </row>
    <row r="73" spans="4:12" customFormat="1" ht="13.35" customHeight="1" x14ac:dyDescent="0.2">
      <c r="H73" s="1"/>
      <c r="K73" s="1"/>
      <c r="L73" s="1"/>
    </row>
  </sheetData>
  <mergeCells count="1">
    <mergeCell ref="K2:L2"/>
  </mergeCells>
  <phoneticPr fontId="10" type="noConversion"/>
  <hyperlinks>
    <hyperlink ref="F38" location="CONTENTS!A1" display="BACK TO CONTENTS"/>
  </hyperlinks>
  <pageMargins left="0.98425196850393704" right="0.98425196850393704" top="0.98425196850393704" bottom="0.98425196850393704" header="0.51181102362204722" footer="0.5118110236220472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tint="0.79998168889431442"/>
    <pageSetUpPr fitToPage="1"/>
  </sheetPr>
  <dimension ref="B1:L35"/>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2:12" s="8" customFormat="1" ht="15" customHeight="1" x14ac:dyDescent="0.2">
      <c r="B1" s="474" t="s">
        <v>535</v>
      </c>
      <c r="C1" s="320"/>
      <c r="D1" s="320"/>
      <c r="E1" s="320"/>
      <c r="F1" s="320"/>
      <c r="G1" s="320"/>
      <c r="H1" s="320"/>
      <c r="I1" s="320"/>
      <c r="J1" s="320"/>
      <c r="K1" s="320"/>
      <c r="L1" s="320"/>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90</v>
      </c>
      <c r="D3" s="1030"/>
      <c r="E3" s="621" t="s">
        <v>17</v>
      </c>
      <c r="F3" s="622" t="s">
        <v>103</v>
      </c>
      <c r="G3" s="621" t="s">
        <v>17</v>
      </c>
      <c r="H3" s="622" t="s">
        <v>103</v>
      </c>
      <c r="I3" s="621" t="s">
        <v>17</v>
      </c>
      <c r="J3" s="622" t="s">
        <v>103</v>
      </c>
      <c r="K3" s="621" t="s">
        <v>17</v>
      </c>
      <c r="L3" s="622" t="s">
        <v>103</v>
      </c>
    </row>
    <row r="4" spans="2:12" ht="13.35" customHeight="1" x14ac:dyDescent="0.2">
      <c r="B4" s="145"/>
      <c r="C4" s="16" t="s">
        <v>18</v>
      </c>
      <c r="D4" s="338" t="s">
        <v>43</v>
      </c>
      <c r="E4" s="629">
        <v>1660</v>
      </c>
      <c r="F4" s="630">
        <v>68.661355999999998</v>
      </c>
      <c r="G4" s="629">
        <v>1413</v>
      </c>
      <c r="H4" s="630">
        <v>58.437159999999999</v>
      </c>
      <c r="I4" s="629">
        <v>1068</v>
      </c>
      <c r="J4" s="630">
        <v>43.771928000000003</v>
      </c>
      <c r="K4" s="629">
        <v>900</v>
      </c>
      <c r="L4" s="630">
        <v>37.085709000000001</v>
      </c>
    </row>
    <row r="5" spans="2:12" ht="13.35" customHeight="1" x14ac:dyDescent="0.2">
      <c r="B5" s="145"/>
      <c r="C5" s="16" t="s">
        <v>19</v>
      </c>
      <c r="D5" s="339" t="s">
        <v>129</v>
      </c>
      <c r="E5" s="629">
        <v>28</v>
      </c>
      <c r="F5" s="630">
        <v>1.058889</v>
      </c>
      <c r="G5" s="629">
        <v>20</v>
      </c>
      <c r="H5" s="630">
        <v>0.63787799999999995</v>
      </c>
      <c r="I5" s="629">
        <v>31</v>
      </c>
      <c r="J5" s="630">
        <v>0.75094300000000003</v>
      </c>
      <c r="K5" s="629">
        <v>29</v>
      </c>
      <c r="L5" s="630">
        <v>0.49779000000000001</v>
      </c>
    </row>
    <row r="6" spans="2:12" ht="13.35" customHeight="1" x14ac:dyDescent="0.2">
      <c r="B6" s="145"/>
      <c r="C6" s="16" t="s">
        <v>20</v>
      </c>
      <c r="D6" s="338" t="s">
        <v>44</v>
      </c>
      <c r="E6" s="629">
        <v>3523</v>
      </c>
      <c r="F6" s="630">
        <v>30.629366000000001</v>
      </c>
      <c r="G6" s="629">
        <v>3573</v>
      </c>
      <c r="H6" s="630">
        <v>25.279812</v>
      </c>
      <c r="I6" s="629">
        <v>2579</v>
      </c>
      <c r="J6" s="630">
        <v>16.071823999999999</v>
      </c>
      <c r="K6" s="629">
        <v>1944</v>
      </c>
      <c r="L6" s="630">
        <v>13.426717</v>
      </c>
    </row>
    <row r="7" spans="2:12" ht="13.35" customHeight="1" x14ac:dyDescent="0.2">
      <c r="B7" s="145"/>
      <c r="C7" s="16" t="s">
        <v>21</v>
      </c>
      <c r="D7" s="338" t="s">
        <v>45</v>
      </c>
      <c r="E7" s="629">
        <v>3000</v>
      </c>
      <c r="F7" s="630">
        <v>29.788367000000001</v>
      </c>
      <c r="G7" s="629">
        <v>2868</v>
      </c>
      <c r="H7" s="630">
        <v>26.624528000000002</v>
      </c>
      <c r="I7" s="629">
        <v>2105</v>
      </c>
      <c r="J7" s="630">
        <v>17.22842</v>
      </c>
      <c r="K7" s="629">
        <v>1627</v>
      </c>
      <c r="L7" s="630">
        <v>13.299794</v>
      </c>
    </row>
    <row r="8" spans="2:12" ht="13.35" customHeight="1" x14ac:dyDescent="0.2">
      <c r="B8" s="145"/>
      <c r="C8" s="16" t="s">
        <v>22</v>
      </c>
      <c r="D8" s="338" t="s">
        <v>46</v>
      </c>
      <c r="E8" s="629">
        <v>4521</v>
      </c>
      <c r="F8" s="630">
        <v>55.834100999999997</v>
      </c>
      <c r="G8" s="629">
        <v>4125</v>
      </c>
      <c r="H8" s="630">
        <v>41.559936999999998</v>
      </c>
      <c r="I8" s="629">
        <v>3179</v>
      </c>
      <c r="J8" s="630">
        <v>27.531621999999999</v>
      </c>
      <c r="K8" s="629">
        <v>2516</v>
      </c>
      <c r="L8" s="630">
        <v>24.115960000000001</v>
      </c>
    </row>
    <row r="9" spans="2:12" ht="13.35" customHeight="1" x14ac:dyDescent="0.2">
      <c r="B9" s="145"/>
      <c r="C9" s="16" t="s">
        <v>23</v>
      </c>
      <c r="D9" s="338" t="s">
        <v>47</v>
      </c>
      <c r="E9" s="629">
        <v>6309</v>
      </c>
      <c r="F9" s="630">
        <v>102.192663</v>
      </c>
      <c r="G9" s="629">
        <v>4807</v>
      </c>
      <c r="H9" s="630">
        <v>68.234057000000007</v>
      </c>
      <c r="I9" s="629">
        <v>3713</v>
      </c>
      <c r="J9" s="630">
        <v>45.432296999999998</v>
      </c>
      <c r="K9" s="629">
        <v>2845</v>
      </c>
      <c r="L9" s="630">
        <v>34.837674999999997</v>
      </c>
    </row>
    <row r="10" spans="2:12" s="50" customFormat="1" ht="13.35" customHeight="1" x14ac:dyDescent="0.2">
      <c r="B10" s="145"/>
      <c r="C10" s="16" t="s">
        <v>24</v>
      </c>
      <c r="D10" s="338" t="s">
        <v>48</v>
      </c>
      <c r="E10" s="629">
        <v>7245</v>
      </c>
      <c r="F10" s="630">
        <v>124.086839</v>
      </c>
      <c r="G10" s="629">
        <v>6909</v>
      </c>
      <c r="H10" s="630">
        <v>117.911826</v>
      </c>
      <c r="I10" s="629">
        <v>4859</v>
      </c>
      <c r="J10" s="630">
        <v>80.844110000000001</v>
      </c>
      <c r="K10" s="629">
        <v>3673</v>
      </c>
      <c r="L10" s="630">
        <v>58.997112999999999</v>
      </c>
    </row>
    <row r="11" spans="2:12" s="1" customFormat="1" ht="13.35" customHeight="1" x14ac:dyDescent="0.2">
      <c r="B11" s="631"/>
      <c r="C11" s="16" t="s">
        <v>25</v>
      </c>
      <c r="D11" s="338" t="s">
        <v>49</v>
      </c>
      <c r="E11" s="629">
        <v>8588</v>
      </c>
      <c r="F11" s="630">
        <v>155.68942899999999</v>
      </c>
      <c r="G11" s="629">
        <v>7331</v>
      </c>
      <c r="H11" s="630">
        <v>136.514219</v>
      </c>
      <c r="I11" s="629">
        <v>5419</v>
      </c>
      <c r="J11" s="630">
        <v>94.622743</v>
      </c>
      <c r="K11" s="629">
        <v>4247</v>
      </c>
      <c r="L11" s="630">
        <v>71.079153000000005</v>
      </c>
    </row>
    <row r="12" spans="2:12" s="1" customFormat="1" ht="13.35" customHeight="1" x14ac:dyDescent="0.2">
      <c r="B12" s="631"/>
      <c r="C12" s="16" t="s">
        <v>26</v>
      </c>
      <c r="D12" s="338" t="s">
        <v>50</v>
      </c>
      <c r="E12" s="629">
        <v>9991</v>
      </c>
      <c r="F12" s="630">
        <v>198.924341</v>
      </c>
      <c r="G12" s="629">
        <v>8313</v>
      </c>
      <c r="H12" s="630">
        <v>163.24560099999999</v>
      </c>
      <c r="I12" s="629">
        <v>5886</v>
      </c>
      <c r="J12" s="630">
        <v>116.796677</v>
      </c>
      <c r="K12" s="629">
        <v>4753</v>
      </c>
      <c r="L12" s="630">
        <v>88.470091999999994</v>
      </c>
    </row>
    <row r="13" spans="2:12" s="1" customFormat="1" ht="13.35" customHeight="1" x14ac:dyDescent="0.2">
      <c r="B13" s="631"/>
      <c r="C13" s="16" t="s">
        <v>27</v>
      </c>
      <c r="D13" s="338" t="s">
        <v>51</v>
      </c>
      <c r="E13" s="629">
        <v>11054</v>
      </c>
      <c r="F13" s="630">
        <v>240.69131400000001</v>
      </c>
      <c r="G13" s="629">
        <v>8799</v>
      </c>
      <c r="H13" s="630">
        <v>194.824592</v>
      </c>
      <c r="I13" s="629">
        <v>6387</v>
      </c>
      <c r="J13" s="630">
        <v>138.06091499999999</v>
      </c>
      <c r="K13" s="629">
        <v>5193</v>
      </c>
      <c r="L13" s="630">
        <v>110.465683</v>
      </c>
    </row>
    <row r="14" spans="2:12" s="1" customFormat="1" ht="13.35" customHeight="1" x14ac:dyDescent="0.2">
      <c r="B14" s="631"/>
      <c r="C14" s="16" t="s">
        <v>28</v>
      </c>
      <c r="D14" s="338" t="s">
        <v>52</v>
      </c>
      <c r="E14" s="629">
        <v>11645</v>
      </c>
      <c r="F14" s="630">
        <v>276.23416200000003</v>
      </c>
      <c r="G14" s="629">
        <v>9698</v>
      </c>
      <c r="H14" s="630">
        <v>236.13848999999999</v>
      </c>
      <c r="I14" s="629">
        <v>6835</v>
      </c>
      <c r="J14" s="630">
        <v>163.289896</v>
      </c>
      <c r="K14" s="629">
        <v>5684</v>
      </c>
      <c r="L14" s="630">
        <v>133.58774700000001</v>
      </c>
    </row>
    <row r="15" spans="2:12" customFormat="1" ht="13.35" customHeight="1" x14ac:dyDescent="0.2">
      <c r="B15" s="631"/>
      <c r="C15" s="16" t="s">
        <v>29</v>
      </c>
      <c r="D15" s="338" t="s">
        <v>53</v>
      </c>
      <c r="E15" s="629">
        <v>12373</v>
      </c>
      <c r="F15" s="630">
        <v>314.62904700000001</v>
      </c>
      <c r="G15" s="629">
        <v>10335</v>
      </c>
      <c r="H15" s="630">
        <v>272.60181399999999</v>
      </c>
      <c r="I15" s="629">
        <v>7151</v>
      </c>
      <c r="J15" s="630">
        <v>189.73305199999999</v>
      </c>
      <c r="K15" s="629">
        <v>5963</v>
      </c>
      <c r="L15" s="630">
        <v>147.72027299999999</v>
      </c>
    </row>
    <row r="16" spans="2:12" customFormat="1" ht="13.35" customHeight="1" x14ac:dyDescent="0.2">
      <c r="B16" s="631"/>
      <c r="C16" s="16" t="s">
        <v>30</v>
      </c>
      <c r="D16" s="338" t="s">
        <v>54</v>
      </c>
      <c r="E16" s="629">
        <v>13373</v>
      </c>
      <c r="F16" s="630">
        <v>372.16308900000001</v>
      </c>
      <c r="G16" s="629">
        <v>10660</v>
      </c>
      <c r="H16" s="630">
        <v>300.87327099999999</v>
      </c>
      <c r="I16" s="629">
        <v>7848</v>
      </c>
      <c r="J16" s="630">
        <v>222.888668</v>
      </c>
      <c r="K16" s="629">
        <v>6298</v>
      </c>
      <c r="L16" s="630">
        <v>172.45540800000001</v>
      </c>
    </row>
    <row r="17" spans="2:12" customFormat="1" ht="13.35" customHeight="1" x14ac:dyDescent="0.2">
      <c r="B17" s="631"/>
      <c r="C17" s="16" t="s">
        <v>31</v>
      </c>
      <c r="D17" s="338" t="s">
        <v>55</v>
      </c>
      <c r="E17" s="629">
        <v>14116</v>
      </c>
      <c r="F17" s="630">
        <v>408.190293</v>
      </c>
      <c r="G17" s="629">
        <v>11278</v>
      </c>
      <c r="H17" s="630">
        <v>334.241468</v>
      </c>
      <c r="I17" s="629">
        <v>7939</v>
      </c>
      <c r="J17" s="630">
        <v>235.15798799999999</v>
      </c>
      <c r="K17" s="629">
        <v>6453</v>
      </c>
      <c r="L17" s="630">
        <v>189.84678299999999</v>
      </c>
    </row>
    <row r="18" spans="2:12" customFormat="1" ht="13.35" customHeight="1" x14ac:dyDescent="0.2">
      <c r="B18" s="631"/>
      <c r="C18" s="16" t="s">
        <v>32</v>
      </c>
      <c r="D18" s="338" t="s">
        <v>56</v>
      </c>
      <c r="E18" s="629">
        <v>14220</v>
      </c>
      <c r="F18" s="630">
        <v>436.668835</v>
      </c>
      <c r="G18" s="629">
        <v>11767</v>
      </c>
      <c r="H18" s="630">
        <v>372.02400799999998</v>
      </c>
      <c r="I18" s="629">
        <v>8404</v>
      </c>
      <c r="J18" s="630">
        <v>266.58873299999999</v>
      </c>
      <c r="K18" s="629">
        <v>6825</v>
      </c>
      <c r="L18" s="630">
        <v>213.17433600000001</v>
      </c>
    </row>
    <row r="19" spans="2:12" customFormat="1" ht="13.35" customHeight="1" x14ac:dyDescent="0.2">
      <c r="B19" s="631"/>
      <c r="C19" s="16" t="s">
        <v>33</v>
      </c>
      <c r="D19" s="338" t="s">
        <v>57</v>
      </c>
      <c r="E19" s="629">
        <v>14512</v>
      </c>
      <c r="F19" s="630">
        <v>466.58162600000003</v>
      </c>
      <c r="G19" s="629">
        <v>12093</v>
      </c>
      <c r="H19" s="630">
        <v>394.461949</v>
      </c>
      <c r="I19" s="629">
        <v>8704</v>
      </c>
      <c r="J19" s="630">
        <v>291.808423</v>
      </c>
      <c r="K19" s="629">
        <v>7049</v>
      </c>
      <c r="L19" s="630">
        <v>234.499628</v>
      </c>
    </row>
    <row r="20" spans="2:12" customFormat="1" ht="13.35" customHeight="1" x14ac:dyDescent="0.2">
      <c r="B20" s="631"/>
      <c r="C20" s="16" t="s">
        <v>34</v>
      </c>
      <c r="D20" s="338" t="s">
        <v>58</v>
      </c>
      <c r="E20" s="629">
        <v>74159</v>
      </c>
      <c r="F20" s="630">
        <v>2722.0252679999999</v>
      </c>
      <c r="G20" s="629">
        <v>62600</v>
      </c>
      <c r="H20" s="630">
        <v>2334.2425450000001</v>
      </c>
      <c r="I20" s="629">
        <v>46271</v>
      </c>
      <c r="J20" s="630">
        <v>1708.397156</v>
      </c>
      <c r="K20" s="629">
        <v>36877</v>
      </c>
      <c r="L20" s="630">
        <v>1385.1454160000001</v>
      </c>
    </row>
    <row r="21" spans="2:12" customFormat="1" ht="13.35" customHeight="1" x14ac:dyDescent="0.2">
      <c r="B21" s="631"/>
      <c r="C21" s="16" t="s">
        <v>35</v>
      </c>
      <c r="D21" s="338" t="s">
        <v>59</v>
      </c>
      <c r="E21" s="629">
        <v>134415</v>
      </c>
      <c r="F21" s="630">
        <v>6233.5801620000002</v>
      </c>
      <c r="G21" s="629">
        <v>118011</v>
      </c>
      <c r="H21" s="630">
        <v>5580.5820359999998</v>
      </c>
      <c r="I21" s="629">
        <v>90833</v>
      </c>
      <c r="J21" s="630">
        <v>4256.6475179999998</v>
      </c>
      <c r="K21" s="629">
        <v>76846</v>
      </c>
      <c r="L21" s="630">
        <v>3669.5482630000001</v>
      </c>
    </row>
    <row r="22" spans="2:12" customFormat="1" ht="13.35" customHeight="1" x14ac:dyDescent="0.2">
      <c r="B22" s="631"/>
      <c r="C22" s="16" t="s">
        <v>36</v>
      </c>
      <c r="D22" s="338" t="s">
        <v>60</v>
      </c>
      <c r="E22" s="629">
        <v>97097</v>
      </c>
      <c r="F22" s="630">
        <v>5669.8921479999999</v>
      </c>
      <c r="G22" s="629">
        <v>94834</v>
      </c>
      <c r="H22" s="630">
        <v>5434.9260180000001</v>
      </c>
      <c r="I22" s="629">
        <v>79200</v>
      </c>
      <c r="J22" s="630">
        <v>4452.5015890000004</v>
      </c>
      <c r="K22" s="629">
        <v>68434</v>
      </c>
      <c r="L22" s="630">
        <v>4004.8657699999999</v>
      </c>
    </row>
    <row r="23" spans="2:12" customFormat="1" ht="13.35" customHeight="1" x14ac:dyDescent="0.2">
      <c r="B23" s="631"/>
      <c r="C23" s="16" t="s">
        <v>37</v>
      </c>
      <c r="D23" s="338" t="s">
        <v>61</v>
      </c>
      <c r="E23" s="629">
        <v>65738</v>
      </c>
      <c r="F23" s="630">
        <v>4647.5362219999997</v>
      </c>
      <c r="G23" s="629">
        <v>62984</v>
      </c>
      <c r="H23" s="630">
        <v>4352.2020810000004</v>
      </c>
      <c r="I23" s="629">
        <v>55909</v>
      </c>
      <c r="J23" s="630">
        <v>3682.2610220000001</v>
      </c>
      <c r="K23" s="629">
        <v>52602</v>
      </c>
      <c r="L23" s="630">
        <v>3434.253526</v>
      </c>
    </row>
    <row r="24" spans="2:12" customFormat="1" ht="13.35" customHeight="1" x14ac:dyDescent="0.2">
      <c r="B24" s="631"/>
      <c r="C24" s="16" t="s">
        <v>38</v>
      </c>
      <c r="D24" s="338" t="s">
        <v>62</v>
      </c>
      <c r="E24" s="629">
        <v>75292</v>
      </c>
      <c r="F24" s="630">
        <v>6120.2905709999995</v>
      </c>
      <c r="G24" s="629">
        <v>81359</v>
      </c>
      <c r="H24" s="630">
        <v>6551.8530039999996</v>
      </c>
      <c r="I24" s="629">
        <v>76050</v>
      </c>
      <c r="J24" s="630">
        <v>6030.0001869999996</v>
      </c>
      <c r="K24" s="629">
        <v>73203</v>
      </c>
      <c r="L24" s="630">
        <v>5818.9785149999998</v>
      </c>
    </row>
    <row r="25" spans="2:12" customFormat="1" ht="13.35" customHeight="1" x14ac:dyDescent="0.2">
      <c r="B25" s="631"/>
      <c r="C25" s="16" t="s">
        <v>39</v>
      </c>
      <c r="D25" s="338" t="s">
        <v>63</v>
      </c>
      <c r="E25" s="629">
        <v>26510</v>
      </c>
      <c r="F25" s="630">
        <v>2446.2023279999999</v>
      </c>
      <c r="G25" s="629">
        <v>28047</v>
      </c>
      <c r="H25" s="630">
        <v>2632.2951560000001</v>
      </c>
      <c r="I25" s="629">
        <v>27962</v>
      </c>
      <c r="J25" s="630">
        <v>2594.5755760000002</v>
      </c>
      <c r="K25" s="629">
        <v>28071</v>
      </c>
      <c r="L25" s="630">
        <v>2605.466735</v>
      </c>
    </row>
    <row r="26" spans="2:12" customFormat="1" ht="13.35" customHeight="1" x14ac:dyDescent="0.2">
      <c r="B26" s="631"/>
      <c r="C26" s="16" t="s">
        <v>40</v>
      </c>
      <c r="D26" s="338" t="s">
        <v>64</v>
      </c>
      <c r="E26" s="629">
        <v>24129</v>
      </c>
      <c r="F26" s="630">
        <v>2526.2258830000001</v>
      </c>
      <c r="G26" s="629">
        <v>24095</v>
      </c>
      <c r="H26" s="630">
        <v>2612.5124049999999</v>
      </c>
      <c r="I26" s="629">
        <v>25077</v>
      </c>
      <c r="J26" s="630">
        <v>2596.0851320000002</v>
      </c>
      <c r="K26" s="629">
        <v>26059</v>
      </c>
      <c r="L26" s="630">
        <v>2738.5381790000001</v>
      </c>
    </row>
    <row r="27" spans="2:12" customFormat="1" ht="13.35" customHeight="1" x14ac:dyDescent="0.2">
      <c r="B27" s="631"/>
      <c r="C27" s="16" t="s">
        <v>41</v>
      </c>
      <c r="D27" s="338" t="s">
        <v>65</v>
      </c>
      <c r="E27" s="629">
        <v>6466</v>
      </c>
      <c r="F27" s="630">
        <v>800.48761500000001</v>
      </c>
      <c r="G27" s="629">
        <v>5992</v>
      </c>
      <c r="H27" s="630">
        <v>754.63155900000004</v>
      </c>
      <c r="I27" s="629">
        <v>6492</v>
      </c>
      <c r="J27" s="630">
        <v>760.30370400000004</v>
      </c>
      <c r="K27" s="629">
        <v>6499</v>
      </c>
      <c r="L27" s="630">
        <v>800.41549599999996</v>
      </c>
    </row>
    <row r="28" spans="2:12" customFormat="1" ht="13.35" customHeight="1" x14ac:dyDescent="0.2">
      <c r="B28" s="632"/>
      <c r="C28" s="280" t="s">
        <v>42</v>
      </c>
      <c r="D28" s="434" t="s">
        <v>66</v>
      </c>
      <c r="E28" s="633">
        <v>1171</v>
      </c>
      <c r="F28" s="634">
        <v>165.43051700000001</v>
      </c>
      <c r="G28" s="633">
        <v>948</v>
      </c>
      <c r="H28" s="634">
        <v>136.38234600000001</v>
      </c>
      <c r="I28" s="633">
        <v>988</v>
      </c>
      <c r="J28" s="634">
        <v>137.49216699999999</v>
      </c>
      <c r="K28" s="633">
        <v>1037</v>
      </c>
      <c r="L28" s="634">
        <v>145.23359600000001</v>
      </c>
    </row>
    <row r="29" spans="2:12" customFormat="1" ht="13.35" customHeight="1" x14ac:dyDescent="0.2">
      <c r="B29" s="632"/>
      <c r="C29" s="635" t="s">
        <v>8</v>
      </c>
      <c r="D29" s="636"/>
      <c r="E29" s="637">
        <f t="shared" ref="E29:L29" si="0">SUM(E4:E28)</f>
        <v>641135</v>
      </c>
      <c r="F29" s="638">
        <f t="shared" si="0"/>
        <v>34613.694430999996</v>
      </c>
      <c r="G29" s="637">
        <f t="shared" si="0"/>
        <v>592859</v>
      </c>
      <c r="H29" s="638">
        <f t="shared" si="0"/>
        <v>33133.237760000004</v>
      </c>
      <c r="I29" s="637">
        <f t="shared" si="0"/>
        <v>490889</v>
      </c>
      <c r="J29" s="638">
        <f t="shared" si="0"/>
        <v>28168.842290000001</v>
      </c>
      <c r="K29" s="637">
        <f t="shared" si="0"/>
        <v>435627</v>
      </c>
      <c r="L29" s="638">
        <f t="shared" si="0"/>
        <v>26146.005356999998</v>
      </c>
    </row>
    <row r="30" spans="2:12" s="1" customFormat="1" ht="13.35" customHeight="1" x14ac:dyDescent="0.2"/>
    <row r="31" spans="2:12" s="1" customFormat="1" ht="13.35" customHeight="1" x14ac:dyDescent="0.2"/>
    <row r="32" spans="2:12" customFormat="1" ht="13.35" customHeight="1" x14ac:dyDescent="0.2">
      <c r="G32" s="352" t="s">
        <v>371</v>
      </c>
      <c r="I32" s="1"/>
    </row>
    <row r="33" spans="4:12" customFormat="1" ht="13.35" customHeight="1" x14ac:dyDescent="0.2">
      <c r="I33" s="1"/>
    </row>
    <row r="34" spans="4:12" customFormat="1" ht="13.35" hidden="1" customHeight="1" x14ac:dyDescent="0.2">
      <c r="D34" s="106" t="s">
        <v>230</v>
      </c>
      <c r="E34" s="84">
        <f>A2.5.1!E$4-A2.5.2!E29</f>
        <v>0</v>
      </c>
      <c r="F34" s="84">
        <f>A2.5.1!F$4-A2.5.2!F29</f>
        <v>0</v>
      </c>
      <c r="G34" s="84">
        <f>A2.5.1!G$4-A2.5.2!G29</f>
        <v>0</v>
      </c>
      <c r="H34" s="84">
        <f>A2.5.1!H$4-A2.5.2!H29</f>
        <v>0</v>
      </c>
      <c r="I34" s="84">
        <f>A2.5.1!I$4-A2.5.2!I29</f>
        <v>0</v>
      </c>
      <c r="J34" s="84">
        <f>A2.5.1!J$4-A2.5.2!J29</f>
        <v>0</v>
      </c>
      <c r="K34" s="84">
        <f>A2.5.1!K$4-A2.5.2!K29</f>
        <v>0</v>
      </c>
      <c r="L34" s="107">
        <f>A2.5.1!L$4-A2.5.2!L29</f>
        <v>0</v>
      </c>
    </row>
    <row r="35" spans="4:12" customFormat="1" ht="13.35" customHeight="1" x14ac:dyDescent="0.2">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theme="7" tint="0.79998168889431442"/>
    <pageSetUpPr fitToPage="1"/>
  </sheetPr>
  <dimension ref="B1:L32"/>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2:12" s="8" customFormat="1" ht="15" customHeight="1" x14ac:dyDescent="0.2">
      <c r="B1" s="439" t="s">
        <v>536</v>
      </c>
      <c r="C1" s="311"/>
      <c r="D1" s="311"/>
      <c r="E1" s="311"/>
      <c r="F1" s="311"/>
      <c r="G1" s="311"/>
      <c r="H1" s="311"/>
      <c r="I1" s="311"/>
      <c r="J1" s="311"/>
      <c r="K1" s="311"/>
      <c r="L1" s="311"/>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194</v>
      </c>
      <c r="D3" s="1030"/>
      <c r="E3" s="623" t="s">
        <v>17</v>
      </c>
      <c r="F3" s="624" t="s">
        <v>85</v>
      </c>
      <c r="G3" s="623" t="s">
        <v>17</v>
      </c>
      <c r="H3" s="624" t="s">
        <v>85</v>
      </c>
      <c r="I3" s="623" t="s">
        <v>17</v>
      </c>
      <c r="J3" s="624" t="s">
        <v>85</v>
      </c>
      <c r="K3" s="623" t="s">
        <v>17</v>
      </c>
      <c r="L3" s="624" t="s">
        <v>85</v>
      </c>
    </row>
    <row r="4" spans="2:12" ht="13.35" customHeight="1" x14ac:dyDescent="0.2">
      <c r="B4" s="145"/>
      <c r="C4" s="16" t="s">
        <v>18</v>
      </c>
      <c r="D4" s="338" t="s">
        <v>43</v>
      </c>
      <c r="E4" s="639">
        <f>A2.5.2!E4/A2.5.2!E$29</f>
        <v>2.5891582895957951E-3</v>
      </c>
      <c r="F4" s="640">
        <f>A2.5.2!F4/A2.5.2!F$29</f>
        <v>1.9836471410722037E-3</v>
      </c>
      <c r="G4" s="639">
        <f>A2.5.2!G4/A2.5.2!G$29</f>
        <v>2.3833660280100327E-3</v>
      </c>
      <c r="H4" s="640">
        <f>A2.5.2!H4/A2.5.2!H$29</f>
        <v>1.7637020693023872E-3</v>
      </c>
      <c r="I4" s="639">
        <f>A2.5.2!I4/A2.5.2!I$29</f>
        <v>2.1756445958251254E-3</v>
      </c>
      <c r="J4" s="640">
        <f>A2.5.2!J4/A2.5.2!J$29</f>
        <v>1.5539129208565E-3</v>
      </c>
      <c r="K4" s="639">
        <f>A2.5.2!K4/A2.5.2!K$29</f>
        <v>2.0659876453938807E-3</v>
      </c>
      <c r="L4" s="640">
        <f>A2.5.2!L4/A2.5.2!L$29</f>
        <v>1.4184082231158553E-3</v>
      </c>
    </row>
    <row r="5" spans="2:12" ht="13.35" customHeight="1" x14ac:dyDescent="0.2">
      <c r="B5" s="145"/>
      <c r="C5" s="16" t="s">
        <v>19</v>
      </c>
      <c r="D5" s="339" t="s">
        <v>129</v>
      </c>
      <c r="E5" s="639">
        <f>A2.5.2!E5/A2.5.2!E$29</f>
        <v>4.3672549463061602E-5</v>
      </c>
      <c r="F5" s="640">
        <f>A2.5.2!F5/A2.5.2!F$29</f>
        <v>3.0591620380506385E-5</v>
      </c>
      <c r="G5" s="639">
        <f>A2.5.2!G5/A2.5.2!G$29</f>
        <v>3.373483408365227E-5</v>
      </c>
      <c r="H5" s="640">
        <f>A2.5.2!H5/A2.5.2!H$29</f>
        <v>1.9251906638900111E-5</v>
      </c>
      <c r="I5" s="639">
        <f>A2.5.2!I5/A2.5.2!I$29</f>
        <v>6.3150732650354762E-5</v>
      </c>
      <c r="J5" s="640">
        <f>A2.5.2!J5/A2.5.2!J$29</f>
        <v>2.665863908317547E-5</v>
      </c>
      <c r="K5" s="639">
        <f>A2.5.2!K5/A2.5.2!K$29</f>
        <v>6.6570713018247263E-5</v>
      </c>
      <c r="L5" s="640">
        <f>A2.5.2!L5/A2.5.2!L$29</f>
        <v>1.9038854815606777E-5</v>
      </c>
    </row>
    <row r="6" spans="2:12" ht="13.35" customHeight="1" x14ac:dyDescent="0.2">
      <c r="B6" s="145"/>
      <c r="C6" s="16" t="s">
        <v>20</v>
      </c>
      <c r="D6" s="338" t="s">
        <v>44</v>
      </c>
      <c r="E6" s="639">
        <f>A2.5.2!E6/A2.5.2!E$29</f>
        <v>5.4949425627987868E-3</v>
      </c>
      <c r="F6" s="640">
        <f>A2.5.2!F6/A2.5.2!F$29</f>
        <v>8.8489155819693047E-4</v>
      </c>
      <c r="G6" s="639">
        <f>A2.5.2!G6/A2.5.2!G$29</f>
        <v>6.0267281090444777E-3</v>
      </c>
      <c r="H6" s="640">
        <f>A2.5.2!H6/A2.5.2!H$29</f>
        <v>7.6297439396396608E-4</v>
      </c>
      <c r="I6" s="639">
        <f>A2.5.2!I6/A2.5.2!I$29</f>
        <v>5.2537335324279013E-3</v>
      </c>
      <c r="J6" s="640">
        <f>A2.5.2!J6/A2.5.2!J$29</f>
        <v>5.7055323163584647E-4</v>
      </c>
      <c r="K6" s="639">
        <f>A2.5.2!K6/A2.5.2!K$29</f>
        <v>4.4625333140507822E-3</v>
      </c>
      <c r="L6" s="640">
        <f>A2.5.2!L6/A2.5.2!L$29</f>
        <v>5.135284268732586E-4</v>
      </c>
    </row>
    <row r="7" spans="2:12" ht="13.35" customHeight="1" x14ac:dyDescent="0.2">
      <c r="B7" s="145"/>
      <c r="C7" s="16" t="s">
        <v>21</v>
      </c>
      <c r="D7" s="338" t="s">
        <v>45</v>
      </c>
      <c r="E7" s="639">
        <f>A2.5.2!E7/A2.5.2!E$29</f>
        <v>4.6792017281851719E-3</v>
      </c>
      <c r="F7" s="640">
        <f>A2.5.2!F7/A2.5.2!F$29</f>
        <v>8.605948451813212E-4</v>
      </c>
      <c r="G7" s="639">
        <f>A2.5.2!G7/A2.5.2!G$29</f>
        <v>4.8375752075957351E-3</v>
      </c>
      <c r="H7" s="640">
        <f>A2.5.2!H7/A2.5.2!H$29</f>
        <v>8.0355950097163095E-4</v>
      </c>
      <c r="I7" s="639">
        <f>A2.5.2!I7/A2.5.2!I$29</f>
        <v>4.2881384589998957E-3</v>
      </c>
      <c r="J7" s="640">
        <f>A2.5.2!J7/A2.5.2!J$29</f>
        <v>6.1161264004506587E-4</v>
      </c>
      <c r="K7" s="639">
        <f>A2.5.2!K7/A2.5.2!K$29</f>
        <v>3.7348465545064928E-3</v>
      </c>
      <c r="L7" s="640">
        <f>A2.5.2!L7/A2.5.2!L$29</f>
        <v>5.0867403331420499E-4</v>
      </c>
    </row>
    <row r="8" spans="2:12" ht="13.35" customHeight="1" x14ac:dyDescent="0.2">
      <c r="B8" s="145"/>
      <c r="C8" s="16" t="s">
        <v>22</v>
      </c>
      <c r="D8" s="338" t="s">
        <v>46</v>
      </c>
      <c r="E8" s="639">
        <f>A2.5.2!E8/A2.5.2!E$29</f>
        <v>7.0515570043750532E-3</v>
      </c>
      <c r="F8" s="640">
        <f>A2.5.2!F8/A2.5.2!F$29</f>
        <v>1.6130639019565339E-3</v>
      </c>
      <c r="G8" s="639">
        <f>A2.5.2!G8/A2.5.2!G$29</f>
        <v>6.95780952975328E-3</v>
      </c>
      <c r="H8" s="640">
        <f>A2.5.2!H8/A2.5.2!H$29</f>
        <v>1.25432767244296E-3</v>
      </c>
      <c r="I8" s="639">
        <f>A2.5.2!I8/A2.5.2!I$29</f>
        <v>6.4760057772734773E-3</v>
      </c>
      <c r="J8" s="640">
        <f>A2.5.2!J8/A2.5.2!J$29</f>
        <v>9.7737854174339937E-4</v>
      </c>
      <c r="K8" s="639">
        <f>A2.5.2!K8/A2.5.2!K$29</f>
        <v>5.7755832397900038E-3</v>
      </c>
      <c r="L8" s="640">
        <f>A2.5.2!L8/A2.5.2!L$29</f>
        <v>9.2235734180875551E-4</v>
      </c>
    </row>
    <row r="9" spans="2:12" ht="13.35" customHeight="1" x14ac:dyDescent="0.2">
      <c r="B9" s="145"/>
      <c r="C9" s="16" t="s">
        <v>23</v>
      </c>
      <c r="D9" s="338" t="s">
        <v>47</v>
      </c>
      <c r="E9" s="639">
        <f>A2.5.2!E9/A2.5.2!E$29</f>
        <v>9.8403612343734154E-3</v>
      </c>
      <c r="F9" s="640">
        <f>A2.5.2!F9/A2.5.2!F$29</f>
        <v>2.9523766439815895E-3</v>
      </c>
      <c r="G9" s="639">
        <f>A2.5.2!G9/A2.5.2!G$29</f>
        <v>8.1081673720058232E-3</v>
      </c>
      <c r="H9" s="640">
        <f>A2.5.2!H9/A2.5.2!H$29</f>
        <v>2.0593839181746181E-3</v>
      </c>
      <c r="I9" s="639">
        <f>A2.5.2!I9/A2.5.2!I$29</f>
        <v>7.5638280751860404E-3</v>
      </c>
      <c r="J9" s="640">
        <f>A2.5.2!J9/A2.5.2!J$29</f>
        <v>1.6128563798352678E-3</v>
      </c>
      <c r="K9" s="639">
        <f>A2.5.2!K9/A2.5.2!K$29</f>
        <v>6.5308165012728783E-3</v>
      </c>
      <c r="L9" s="640">
        <f>A2.5.2!L9/A2.5.2!L$29</f>
        <v>1.3324282055450969E-3</v>
      </c>
    </row>
    <row r="10" spans="2:12" s="50" customFormat="1" ht="13.35" customHeight="1" x14ac:dyDescent="0.2">
      <c r="B10" s="145"/>
      <c r="C10" s="16" t="s">
        <v>24</v>
      </c>
      <c r="D10" s="338" t="s">
        <v>48</v>
      </c>
      <c r="E10" s="639">
        <f>A2.5.2!E10/A2.5.2!E$29</f>
        <v>1.130027217356719E-2</v>
      </c>
      <c r="F10" s="640">
        <f>A2.5.2!F10/A2.5.2!F$29</f>
        <v>3.584905946614815E-3</v>
      </c>
      <c r="G10" s="639">
        <f>A2.5.2!G10/A2.5.2!G$29</f>
        <v>1.1653698434197677E-2</v>
      </c>
      <c r="H10" s="640">
        <f>A2.5.2!H10/A2.5.2!H$29</f>
        <v>3.5587172872778732E-3</v>
      </c>
      <c r="I10" s="639">
        <f>A2.5.2!I10/A2.5.2!I$29</f>
        <v>9.8983680628410911E-3</v>
      </c>
      <c r="J10" s="640">
        <f>A2.5.2!J10/A2.5.2!J$29</f>
        <v>2.8699834081821612E-3</v>
      </c>
      <c r="K10" s="639">
        <f>A2.5.2!K10/A2.5.2!K$29</f>
        <v>8.4315251350352474E-3</v>
      </c>
      <c r="L10" s="640">
        <f>A2.5.2!L10/A2.5.2!L$29</f>
        <v>2.2564484399986884E-3</v>
      </c>
    </row>
    <row r="11" spans="2:12" s="1" customFormat="1" ht="13.35" customHeight="1" x14ac:dyDescent="0.2">
      <c r="B11" s="631"/>
      <c r="C11" s="16" t="s">
        <v>25</v>
      </c>
      <c r="D11" s="338" t="s">
        <v>49</v>
      </c>
      <c r="E11" s="639">
        <f>A2.5.2!E11/A2.5.2!E$29</f>
        <v>1.3394994813884752E-2</v>
      </c>
      <c r="F11" s="640">
        <f>A2.5.2!F11/A2.5.2!F$29</f>
        <v>4.4979142376828946E-3</v>
      </c>
      <c r="G11" s="639">
        <f>A2.5.2!G11/A2.5.2!G$29</f>
        <v>1.236550343336274E-2</v>
      </c>
      <c r="H11" s="640">
        <f>A2.5.2!H11/A2.5.2!H$29</f>
        <v>4.1201593393569991E-3</v>
      </c>
      <c r="I11" s="639">
        <f>A2.5.2!I11/A2.5.2!I$29</f>
        <v>1.1039155491363629E-2</v>
      </c>
      <c r="J11" s="640">
        <f>A2.5.2!J11/A2.5.2!J$29</f>
        <v>3.3591278628298925E-3</v>
      </c>
      <c r="K11" s="639">
        <f>A2.5.2!K11/A2.5.2!K$29</f>
        <v>9.7491661444309013E-3</v>
      </c>
      <c r="L11" s="640">
        <f>A2.5.2!L11/A2.5.2!L$29</f>
        <v>2.7185473279561683E-3</v>
      </c>
    </row>
    <row r="12" spans="2:12" s="1" customFormat="1" ht="13.35" customHeight="1" x14ac:dyDescent="0.2">
      <c r="B12" s="631"/>
      <c r="C12" s="16" t="s">
        <v>26</v>
      </c>
      <c r="D12" s="338" t="s">
        <v>50</v>
      </c>
      <c r="E12" s="639">
        <f>A2.5.2!E12/A2.5.2!E$29</f>
        <v>1.5583301488766016E-2</v>
      </c>
      <c r="F12" s="640">
        <f>A2.5.2!F12/A2.5.2!F$29</f>
        <v>5.7469837955766868E-3</v>
      </c>
      <c r="G12" s="639">
        <f>A2.5.2!G12/A2.5.2!G$29</f>
        <v>1.4021883786870065E-2</v>
      </c>
      <c r="H12" s="640">
        <f>A2.5.2!H12/A2.5.2!H$29</f>
        <v>4.9269438194500187E-3</v>
      </c>
      <c r="I12" s="639">
        <f>A2.5.2!I12/A2.5.2!I$29</f>
        <v>1.1990490721935101E-2</v>
      </c>
      <c r="J12" s="640">
        <f>A2.5.2!J12/A2.5.2!J$29</f>
        <v>4.1463073206051875E-3</v>
      </c>
      <c r="K12" s="639">
        <f>A2.5.2!K12/A2.5.2!K$29</f>
        <v>1.0910710309507904E-2</v>
      </c>
      <c r="L12" s="640">
        <f>A2.5.2!L12/A2.5.2!L$29</f>
        <v>3.3836944034861577E-3</v>
      </c>
    </row>
    <row r="13" spans="2:12" s="1" customFormat="1" ht="13.35" customHeight="1" x14ac:dyDescent="0.2">
      <c r="B13" s="631"/>
      <c r="C13" s="16" t="s">
        <v>27</v>
      </c>
      <c r="D13" s="338" t="s">
        <v>51</v>
      </c>
      <c r="E13" s="639">
        <f>A2.5.2!E13/A2.5.2!E$29</f>
        <v>1.7241298634452961E-2</v>
      </c>
      <c r="F13" s="640">
        <f>A2.5.2!F13/A2.5.2!F$29</f>
        <v>6.9536441560666537E-3</v>
      </c>
      <c r="G13" s="639">
        <f>A2.5.2!G13/A2.5.2!G$29</f>
        <v>1.4841640255102815E-2</v>
      </c>
      <c r="H13" s="640">
        <f>A2.5.2!H13/A2.5.2!H$29</f>
        <v>5.8800348282050888E-3</v>
      </c>
      <c r="I13" s="639">
        <f>A2.5.2!I13/A2.5.2!I$29</f>
        <v>1.3011088046381158E-2</v>
      </c>
      <c r="J13" s="640">
        <f>A2.5.2!J13/A2.5.2!J$29</f>
        <v>4.9011923734264334E-3</v>
      </c>
      <c r="K13" s="639">
        <f>A2.5.2!K13/A2.5.2!K$29</f>
        <v>1.192074871392269E-2</v>
      </c>
      <c r="L13" s="640">
        <f>A2.5.2!L13/A2.5.2!L$29</f>
        <v>4.2249545003793599E-3</v>
      </c>
    </row>
    <row r="14" spans="2:12" s="1" customFormat="1" ht="13.35" customHeight="1" x14ac:dyDescent="0.2">
      <c r="B14" s="631"/>
      <c r="C14" s="16" t="s">
        <v>28</v>
      </c>
      <c r="D14" s="338" t="s">
        <v>52</v>
      </c>
      <c r="E14" s="639">
        <f>A2.5.2!E14/A2.5.2!E$29</f>
        <v>1.8163101374905441E-2</v>
      </c>
      <c r="F14" s="640">
        <f>A2.5.2!F14/A2.5.2!F$29</f>
        <v>7.9804876809857362E-3</v>
      </c>
      <c r="G14" s="639">
        <f>A2.5.2!G14/A2.5.2!G$29</f>
        <v>1.6358021047162986E-2</v>
      </c>
      <c r="H14" s="640">
        <f>A2.5.2!H14/A2.5.2!H$29</f>
        <v>7.1269367548823567E-3</v>
      </c>
      <c r="I14" s="639">
        <f>A2.5.2!I14/A2.5.2!I$29</f>
        <v>1.3923717989199188E-2</v>
      </c>
      <c r="J14" s="640">
        <f>A2.5.2!J14/A2.5.2!J$29</f>
        <v>5.7968266611357422E-3</v>
      </c>
      <c r="K14" s="639">
        <f>A2.5.2!K14/A2.5.2!K$29</f>
        <v>1.3047859751576463E-2</v>
      </c>
      <c r="L14" s="640">
        <f>A2.5.2!L14/A2.5.2!L$29</f>
        <v>5.1092985401012675E-3</v>
      </c>
    </row>
    <row r="15" spans="2:12" customFormat="1" ht="13.35" customHeight="1" x14ac:dyDescent="0.2">
      <c r="B15" s="631"/>
      <c r="C15" s="16" t="s">
        <v>29</v>
      </c>
      <c r="D15" s="338" t="s">
        <v>53</v>
      </c>
      <c r="E15" s="639">
        <f>A2.5.2!E15/A2.5.2!E$29</f>
        <v>1.9298587660945044E-2</v>
      </c>
      <c r="F15" s="640">
        <f>A2.5.2!F15/A2.5.2!F$29</f>
        <v>9.089727409109457E-3</v>
      </c>
      <c r="G15" s="639">
        <f>A2.5.2!G15/A2.5.2!G$29</f>
        <v>1.7432475512727308E-2</v>
      </c>
      <c r="H15" s="640">
        <f>A2.5.2!H15/A2.5.2!H$29</f>
        <v>8.227442665717918E-3</v>
      </c>
      <c r="I15" s="639">
        <f>A2.5.2!I15/A2.5.2!I$29</f>
        <v>1.4567448038151191E-2</v>
      </c>
      <c r="J15" s="640">
        <f>A2.5.2!J15/A2.5.2!J$29</f>
        <v>6.7355644242204308E-3</v>
      </c>
      <c r="K15" s="639">
        <f>A2.5.2!K15/A2.5.2!K$29</f>
        <v>1.3688315921648566E-2</v>
      </c>
      <c r="L15" s="640">
        <f>A2.5.2!L15/A2.5.2!L$29</f>
        <v>5.6498218746234303E-3</v>
      </c>
    </row>
    <row r="16" spans="2:12" customFormat="1" ht="13.35" customHeight="1" x14ac:dyDescent="0.2">
      <c r="B16" s="631"/>
      <c r="C16" s="16" t="s">
        <v>30</v>
      </c>
      <c r="D16" s="338" t="s">
        <v>54</v>
      </c>
      <c r="E16" s="639">
        <f>A2.5.2!E16/A2.5.2!E$29</f>
        <v>2.0858321570340101E-2</v>
      </c>
      <c r="F16" s="640">
        <f>A2.5.2!F16/A2.5.2!F$29</f>
        <v>1.0751903115741701E-2</v>
      </c>
      <c r="G16" s="639">
        <f>A2.5.2!G16/A2.5.2!G$29</f>
        <v>1.7980666566586659E-2</v>
      </c>
      <c r="H16" s="640">
        <f>A2.5.2!H16/A2.5.2!H$29</f>
        <v>9.0807084167074149E-3</v>
      </c>
      <c r="I16" s="639">
        <f>A2.5.2!I16/A2.5.2!I$29</f>
        <v>1.5987320962580136E-2</v>
      </c>
      <c r="J16" s="640">
        <f>A2.5.2!J16/A2.5.2!J$29</f>
        <v>7.9125959705886092E-3</v>
      </c>
      <c r="K16" s="639">
        <f>A2.5.2!K16/A2.5.2!K$29</f>
        <v>1.4457322434100733E-2</v>
      </c>
      <c r="L16" s="640">
        <f>A2.5.2!L16/A2.5.2!L$29</f>
        <v>6.5958606542482401E-3</v>
      </c>
    </row>
    <row r="17" spans="2:12" customFormat="1" ht="13.35" customHeight="1" x14ac:dyDescent="0.2">
      <c r="B17" s="631"/>
      <c r="C17" s="16" t="s">
        <v>31</v>
      </c>
      <c r="D17" s="338" t="s">
        <v>55</v>
      </c>
      <c r="E17" s="639">
        <f>A2.5.2!E17/A2.5.2!E$29</f>
        <v>2.2017203865020627E-2</v>
      </c>
      <c r="F17" s="640">
        <f>A2.5.2!F17/A2.5.2!F$29</f>
        <v>1.1792739830580613E-2</v>
      </c>
      <c r="G17" s="639">
        <f>A2.5.2!G17/A2.5.2!G$29</f>
        <v>1.9023072939771513E-2</v>
      </c>
      <c r="H17" s="640">
        <f>A2.5.2!H17/A2.5.2!H$29</f>
        <v>1.0087799762313358E-2</v>
      </c>
      <c r="I17" s="639">
        <f>A2.5.2!I17/A2.5.2!I$29</f>
        <v>1.6172698919715046E-2</v>
      </c>
      <c r="J17" s="640">
        <f>A2.5.2!J17/A2.5.2!J$29</f>
        <v>8.3481594869620028E-3</v>
      </c>
      <c r="K17" s="639">
        <f>A2.5.2!K17/A2.5.2!K$29</f>
        <v>1.4813131417474123E-2</v>
      </c>
      <c r="L17" s="640">
        <f>A2.5.2!L17/A2.5.2!L$29</f>
        <v>7.2610244053657258E-3</v>
      </c>
    </row>
    <row r="18" spans="2:12" customFormat="1" ht="13.35" customHeight="1" x14ac:dyDescent="0.2">
      <c r="B18" s="631"/>
      <c r="C18" s="16" t="s">
        <v>32</v>
      </c>
      <c r="D18" s="338" t="s">
        <v>56</v>
      </c>
      <c r="E18" s="639">
        <f>A2.5.2!E18/A2.5.2!E$29</f>
        <v>2.2179416191597714E-2</v>
      </c>
      <c r="F18" s="640">
        <f>A2.5.2!F18/A2.5.2!F$29</f>
        <v>1.2615493439178217E-2</v>
      </c>
      <c r="G18" s="639">
        <f>A2.5.2!G18/A2.5.2!G$29</f>
        <v>1.9847889633116813E-2</v>
      </c>
      <c r="H18" s="640">
        <f>A2.5.2!H18/A2.5.2!H$29</f>
        <v>1.1228121160230371E-2</v>
      </c>
      <c r="I18" s="639">
        <f>A2.5.2!I18/A2.5.2!I$29</f>
        <v>1.7119959909470368E-2</v>
      </c>
      <c r="J18" s="640">
        <f>A2.5.2!J18/A2.5.2!J$29</f>
        <v>9.463957739386384E-3</v>
      </c>
      <c r="K18" s="639">
        <f>A2.5.2!K18/A2.5.2!K$29</f>
        <v>1.5667072977570261E-2</v>
      </c>
      <c r="L18" s="640">
        <f>A2.5.2!L18/A2.5.2!L$29</f>
        <v>8.153227733617343E-3</v>
      </c>
    </row>
    <row r="19" spans="2:12" customFormat="1" ht="13.35" customHeight="1" x14ac:dyDescent="0.2">
      <c r="B19" s="631"/>
      <c r="C19" s="16" t="s">
        <v>33</v>
      </c>
      <c r="D19" s="338" t="s">
        <v>57</v>
      </c>
      <c r="E19" s="639">
        <f>A2.5.2!E19/A2.5.2!E$29</f>
        <v>2.263485849314107E-2</v>
      </c>
      <c r="F19" s="640">
        <f>A2.5.2!F19/A2.5.2!F$29</f>
        <v>1.3479682930988434E-2</v>
      </c>
      <c r="G19" s="639">
        <f>A2.5.2!G19/A2.5.2!G$29</f>
        <v>2.0397767428680345E-2</v>
      </c>
      <c r="H19" s="640">
        <f>A2.5.2!H19/A2.5.2!H$29</f>
        <v>1.1905324552260116E-2</v>
      </c>
      <c r="I19" s="639">
        <f>A2.5.2!I19/A2.5.2!I$29</f>
        <v>1.7731096031893157E-2</v>
      </c>
      <c r="J19" s="640">
        <f>A2.5.2!J19/A2.5.2!J$29</f>
        <v>1.0359262194584143E-2</v>
      </c>
      <c r="K19" s="639">
        <f>A2.5.2!K19/A2.5.2!K$29</f>
        <v>1.6181274347090515E-2</v>
      </c>
      <c r="L19" s="640">
        <f>A2.5.2!L19/A2.5.2!L$29</f>
        <v>8.9688510653203116E-3</v>
      </c>
    </row>
    <row r="20" spans="2:12" customFormat="1" ht="13.35" customHeight="1" x14ac:dyDescent="0.2">
      <c r="B20" s="631"/>
      <c r="C20" s="16" t="s">
        <v>34</v>
      </c>
      <c r="D20" s="338" t="s">
        <v>58</v>
      </c>
      <c r="E20" s="639">
        <f>A2.5.2!E20/A2.5.2!E$29</f>
        <v>0.11566830698682805</v>
      </c>
      <c r="F20" s="640">
        <f>A2.5.2!F20/A2.5.2!F$29</f>
        <v>7.8640125324563923E-2</v>
      </c>
      <c r="G20" s="639">
        <f>A2.5.2!G20/A2.5.2!G$29</f>
        <v>0.10559003068183159</v>
      </c>
      <c r="H20" s="640">
        <f>A2.5.2!H20/A2.5.2!H$29</f>
        <v>7.0450179421282122E-2</v>
      </c>
      <c r="I20" s="639">
        <f>A2.5.2!I20/A2.5.2!I$29</f>
        <v>9.4259598402082756E-2</v>
      </c>
      <c r="J20" s="640">
        <f>A2.5.2!J20/A2.5.2!J$29</f>
        <v>6.0648468915120615E-2</v>
      </c>
      <c r="K20" s="639">
        <f>A2.5.2!K20/A2.5.2!K$29</f>
        <v>8.465269599910015E-2</v>
      </c>
      <c r="L20" s="640">
        <f>A2.5.2!L20/A2.5.2!L$29</f>
        <v>5.2977324722728966E-2</v>
      </c>
    </row>
    <row r="21" spans="2:12" customFormat="1" ht="13.35" customHeight="1" x14ac:dyDescent="0.2">
      <c r="B21" s="631"/>
      <c r="C21" s="16" t="s">
        <v>35</v>
      </c>
      <c r="D21" s="338" t="s">
        <v>59</v>
      </c>
      <c r="E21" s="639">
        <f>A2.5.2!E21/A2.5.2!E$29</f>
        <v>0.20965163343133661</v>
      </c>
      <c r="F21" s="640">
        <f>A2.5.2!F21/A2.5.2!F$29</f>
        <v>0.1800899980331834</v>
      </c>
      <c r="G21" s="639">
        <f>A2.5.2!G21/A2.5.2!G$29</f>
        <v>0.19905407525229438</v>
      </c>
      <c r="H21" s="640">
        <f>A2.5.2!H21/A2.5.2!H$29</f>
        <v>0.16842851508877107</v>
      </c>
      <c r="I21" s="639">
        <f>A2.5.2!I21/A2.5.2!I$29</f>
        <v>0.1850377580267637</v>
      </c>
      <c r="J21" s="640">
        <f>A2.5.2!J21/A2.5.2!J$29</f>
        <v>0.15111190847595177</v>
      </c>
      <c r="K21" s="639">
        <f>A2.5.2!K21/A2.5.2!K$29</f>
        <v>0.17640320733104239</v>
      </c>
      <c r="L21" s="640">
        <f>A2.5.2!L21/A2.5.2!L$29</f>
        <v>0.14034833286751247</v>
      </c>
    </row>
    <row r="22" spans="2:12" customFormat="1" ht="13.35" customHeight="1" x14ac:dyDescent="0.2">
      <c r="B22" s="631"/>
      <c r="C22" s="16" t="s">
        <v>36</v>
      </c>
      <c r="D22" s="338" t="s">
        <v>60</v>
      </c>
      <c r="E22" s="639">
        <f>A2.5.2!E22/A2.5.2!E$29</f>
        <v>0.15144548340053188</v>
      </c>
      <c r="F22" s="640">
        <f>A2.5.2!F22/A2.5.2!F$29</f>
        <v>0.16380488246646244</v>
      </c>
      <c r="G22" s="639">
        <f>A2.5.2!G22/A2.5.2!G$29</f>
        <v>0.15996046277445397</v>
      </c>
      <c r="H22" s="640">
        <f>A2.5.2!H22/A2.5.2!H$29</f>
        <v>0.16403244552698973</v>
      </c>
      <c r="I22" s="639">
        <f>A2.5.2!I22/A2.5.2!I$29</f>
        <v>0.16133993631961605</v>
      </c>
      <c r="J22" s="640">
        <f>A2.5.2!J22/A2.5.2!J$29</f>
        <v>0.15806477039990557</v>
      </c>
      <c r="K22" s="639">
        <f>A2.5.2!K22/A2.5.2!K$29</f>
        <v>0.15709310947209423</v>
      </c>
      <c r="L22" s="640">
        <f>A2.5.2!L22/A2.5.2!L$29</f>
        <v>0.15317314118608899</v>
      </c>
    </row>
    <row r="23" spans="2:12" customFormat="1" ht="13.35" customHeight="1" x14ac:dyDescent="0.2">
      <c r="B23" s="631"/>
      <c r="C23" s="16" t="s">
        <v>37</v>
      </c>
      <c r="D23" s="338" t="s">
        <v>61</v>
      </c>
      <c r="E23" s="639">
        <f>A2.5.2!E23/A2.5.2!E$29</f>
        <v>0.10253378773581227</v>
      </c>
      <c r="F23" s="640">
        <f>A2.5.2!F23/A2.5.2!F$29</f>
        <v>0.1342687135366189</v>
      </c>
      <c r="G23" s="639">
        <f>A2.5.2!G23/A2.5.2!G$29</f>
        <v>0.10623773949623773</v>
      </c>
      <c r="H23" s="640">
        <f>A2.5.2!H23/A2.5.2!H$29</f>
        <v>0.13135456644850393</v>
      </c>
      <c r="I23" s="639">
        <f>A2.5.2!I23/A2.5.2!I$29</f>
        <v>0.11389336489511885</v>
      </c>
      <c r="J23" s="640">
        <f>A2.5.2!J23/A2.5.2!J$29</f>
        <v>0.13072106351020363</v>
      </c>
      <c r="K23" s="639">
        <f>A2.5.2!K23/A2.5.2!K$29</f>
        <v>0.12075009124778767</v>
      </c>
      <c r="L23" s="640">
        <f>A2.5.2!L23/A2.5.2!L$29</f>
        <v>0.13134907145884742</v>
      </c>
    </row>
    <row r="24" spans="2:12" customFormat="1" ht="13.35" customHeight="1" x14ac:dyDescent="0.2">
      <c r="B24" s="631"/>
      <c r="C24" s="16" t="s">
        <v>38</v>
      </c>
      <c r="D24" s="338" t="s">
        <v>62</v>
      </c>
      <c r="E24" s="639">
        <f>A2.5.2!E24/A2.5.2!E$29</f>
        <v>0.11743548550617265</v>
      </c>
      <c r="F24" s="640">
        <f>A2.5.2!F24/A2.5.2!F$29</f>
        <v>0.17681702781540337</v>
      </c>
      <c r="G24" s="639">
        <f>A2.5.2!G24/A2.5.2!G$29</f>
        <v>0.13723161831059325</v>
      </c>
      <c r="H24" s="640">
        <f>A2.5.2!H24/A2.5.2!H$29</f>
        <v>0.19774261276420452</v>
      </c>
      <c r="I24" s="639">
        <f>A2.5.2!I24/A2.5.2!I$29</f>
        <v>0.15492300703417677</v>
      </c>
      <c r="J24" s="640">
        <f>A2.5.2!J24/A2.5.2!J$29</f>
        <v>0.21406631216578831</v>
      </c>
      <c r="K24" s="639">
        <f>A2.5.2!K24/A2.5.2!K$29</f>
        <v>0.16804054845085359</v>
      </c>
      <c r="L24" s="640">
        <f>A2.5.2!L24/A2.5.2!L$29</f>
        <v>0.22255707652267043</v>
      </c>
    </row>
    <row r="25" spans="2:12" customFormat="1" ht="13.35" customHeight="1" x14ac:dyDescent="0.2">
      <c r="B25" s="631"/>
      <c r="C25" s="16" t="s">
        <v>39</v>
      </c>
      <c r="D25" s="338" t="s">
        <v>63</v>
      </c>
      <c r="E25" s="639">
        <f>A2.5.2!E25/A2.5.2!E$29</f>
        <v>4.1348545938062968E-2</v>
      </c>
      <c r="F25" s="640">
        <f>A2.5.2!F25/A2.5.2!F$29</f>
        <v>7.0671517970332082E-2</v>
      </c>
      <c r="G25" s="639">
        <f>A2.5.2!G25/A2.5.2!G$29</f>
        <v>4.730804457720976E-2</v>
      </c>
      <c r="H25" s="640">
        <f>A2.5.2!H25/A2.5.2!H$29</f>
        <v>7.9445757008928058E-2</v>
      </c>
      <c r="I25" s="639">
        <f>A2.5.2!I25/A2.5.2!I$29</f>
        <v>5.6961960850619997E-2</v>
      </c>
      <c r="J25" s="640">
        <f>A2.5.2!J25/A2.5.2!J$29</f>
        <v>9.2107994687487746E-2</v>
      </c>
      <c r="K25" s="639">
        <f>A2.5.2!K25/A2.5.2!K$29</f>
        <v>6.4438154659835128E-2</v>
      </c>
      <c r="L25" s="640">
        <f>A2.5.2!L25/A2.5.2!L$29</f>
        <v>9.9650661713891434E-2</v>
      </c>
    </row>
    <row r="26" spans="2:12" customFormat="1" ht="13.35" customHeight="1" x14ac:dyDescent="0.2">
      <c r="B26" s="631"/>
      <c r="C26" s="16" t="s">
        <v>40</v>
      </c>
      <c r="D26" s="338" t="s">
        <v>64</v>
      </c>
      <c r="E26" s="639">
        <f>A2.5.2!E26/A2.5.2!E$29</f>
        <v>3.7634819499793339E-2</v>
      </c>
      <c r="F26" s="640">
        <f>A2.5.2!F26/A2.5.2!F$29</f>
        <v>7.2983422443849685E-2</v>
      </c>
      <c r="G26" s="639">
        <f>A2.5.2!G26/A2.5.2!G$29</f>
        <v>4.0642041362280071E-2</v>
      </c>
      <c r="H26" s="640">
        <f>A2.5.2!H26/A2.5.2!H$29</f>
        <v>7.8848690367168017E-2</v>
      </c>
      <c r="I26" s="639">
        <f>A2.5.2!I26/A2.5.2!I$29</f>
        <v>5.1084868473320853E-2</v>
      </c>
      <c r="J26" s="640">
        <f>A2.5.2!J26/A2.5.2!J$29</f>
        <v>9.2161584252314688E-2</v>
      </c>
      <c r="K26" s="639">
        <f>A2.5.2!K26/A2.5.2!K$29</f>
        <v>5.9819524501465701E-2</v>
      </c>
      <c r="L26" s="640">
        <f>A2.5.2!L26/A2.5.2!L$29</f>
        <v>0.10474021333690345</v>
      </c>
    </row>
    <row r="27" spans="2:12" customFormat="1" ht="13.35" customHeight="1" x14ac:dyDescent="0.2">
      <c r="B27" s="631"/>
      <c r="C27" s="16" t="s">
        <v>41</v>
      </c>
      <c r="D27" s="338" t="s">
        <v>65</v>
      </c>
      <c r="E27" s="639">
        <f>A2.5.2!E27/A2.5.2!E$29</f>
        <v>1.008523945814844E-2</v>
      </c>
      <c r="F27" s="640">
        <f>A2.5.2!F27/A2.5.2!F$29</f>
        <v>2.3126326968527344E-2</v>
      </c>
      <c r="G27" s="639">
        <f>A2.5.2!G27/A2.5.2!G$29</f>
        <v>1.0106956291462219E-2</v>
      </c>
      <c r="H27" s="640">
        <f>A2.5.2!H27/A2.5.2!H$29</f>
        <v>2.2775666068802568E-2</v>
      </c>
      <c r="I27" s="639">
        <f>A2.5.2!I27/A2.5.2!I$29</f>
        <v>1.3224985689229134E-2</v>
      </c>
      <c r="J27" s="640">
        <f>A2.5.2!J27/A2.5.2!J$29</f>
        <v>2.6990946101817948E-2</v>
      </c>
      <c r="K27" s="639">
        <f>A2.5.2!K27/A2.5.2!K$29</f>
        <v>1.4918726341572033E-2</v>
      </c>
      <c r="L27" s="640">
        <f>A2.5.2!L27/A2.5.2!L$29</f>
        <v>3.0613299625355844E-2</v>
      </c>
    </row>
    <row r="28" spans="2:12" customFormat="1" ht="13.35" customHeight="1" x14ac:dyDescent="0.2">
      <c r="B28" s="632"/>
      <c r="C28" s="280" t="s">
        <v>42</v>
      </c>
      <c r="D28" s="434" t="s">
        <v>66</v>
      </c>
      <c r="E28" s="641">
        <f>A2.5.2!E28/A2.5.2!E$29</f>
        <v>1.8264484079016121E-3</v>
      </c>
      <c r="F28" s="642">
        <f>A2.5.2!F28/A2.5.2!F$29</f>
        <v>4.779337187764637E-3</v>
      </c>
      <c r="G28" s="641">
        <f>A2.5.2!G28/A2.5.2!G$29</f>
        <v>1.5990311355651176E-3</v>
      </c>
      <c r="H28" s="642">
        <f>A2.5.2!H28/A2.5.2!H$29</f>
        <v>4.11617925745389E-3</v>
      </c>
      <c r="I28" s="641">
        <f>A2.5.2!I28/A2.5.2!I$29</f>
        <v>2.0126749631790486E-3</v>
      </c>
      <c r="J28" s="642">
        <f>A2.5.2!J28/A2.5.2!J$29</f>
        <v>4.88100169628945E-3</v>
      </c>
      <c r="K28" s="641">
        <f>A2.5.2!K28/A2.5.2!K$29</f>
        <v>2.3804768758593936E-3</v>
      </c>
      <c r="L28" s="642">
        <f>A2.5.2!L28/A2.5.2!L$29</f>
        <v>5.5547145354315859E-3</v>
      </c>
    </row>
    <row r="29" spans="2:12" customFormat="1" ht="13.35" customHeight="1" x14ac:dyDescent="0.2">
      <c r="B29" s="632"/>
      <c r="C29" s="635" t="s">
        <v>8</v>
      </c>
      <c r="D29" s="636"/>
      <c r="E29" s="643">
        <f>A2.5.2!E29/A2.5.2!E$29</f>
        <v>1</v>
      </c>
      <c r="F29" s="644">
        <f>A2.5.2!F29/A2.5.2!F$29</f>
        <v>1</v>
      </c>
      <c r="G29" s="643">
        <f>A2.5.2!G29/A2.5.2!G$29</f>
        <v>1</v>
      </c>
      <c r="H29" s="644">
        <f>A2.5.2!H29/A2.5.2!H$29</f>
        <v>1</v>
      </c>
      <c r="I29" s="643">
        <f>A2.5.2!I29/A2.5.2!I$29</f>
        <v>1</v>
      </c>
      <c r="J29" s="644">
        <f>A2.5.2!J29/A2.5.2!J$29</f>
        <v>1</v>
      </c>
      <c r="K29" s="643">
        <f>A2.5.2!K29/A2.5.2!K$29</f>
        <v>1</v>
      </c>
      <c r="L29" s="644">
        <f>A2.5.2!L29/A2.5.2!L$29</f>
        <v>1</v>
      </c>
    </row>
    <row r="30" spans="2:12" s="1" customFormat="1" ht="13.35" customHeight="1" x14ac:dyDescent="0.2"/>
    <row r="31" spans="2:12" s="1" customFormat="1" ht="13.35" customHeight="1" x14ac:dyDescent="0.2"/>
    <row r="32" spans="2:12" x14ac:dyDescent="0.2">
      <c r="G32" s="352" t="s">
        <v>371</v>
      </c>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7" tint="0.79998168889431442"/>
    <pageSetUpPr fitToPage="1"/>
  </sheetPr>
  <dimension ref="B1:L35"/>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2:12" s="8" customFormat="1" ht="15" customHeight="1" x14ac:dyDescent="0.2">
      <c r="B1" s="474" t="s">
        <v>381</v>
      </c>
      <c r="C1" s="320"/>
      <c r="D1" s="320"/>
      <c r="E1" s="320"/>
      <c r="F1" s="320"/>
      <c r="G1" s="320"/>
      <c r="H1" s="320"/>
      <c r="I1" s="320"/>
      <c r="J1" s="320"/>
      <c r="K1" s="320"/>
      <c r="L1" s="320"/>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90</v>
      </c>
      <c r="D3" s="1030"/>
      <c r="E3" s="623" t="s">
        <v>17</v>
      </c>
      <c r="F3" s="624" t="s">
        <v>103</v>
      </c>
      <c r="G3" s="623" t="s">
        <v>17</v>
      </c>
      <c r="H3" s="624" t="s">
        <v>103</v>
      </c>
      <c r="I3" s="623" t="s">
        <v>17</v>
      </c>
      <c r="J3" s="624" t="s">
        <v>103</v>
      </c>
      <c r="K3" s="623" t="s">
        <v>17</v>
      </c>
      <c r="L3" s="624" t="s">
        <v>103</v>
      </c>
    </row>
    <row r="4" spans="2:12" ht="13.35" customHeight="1" x14ac:dyDescent="0.2">
      <c r="B4" s="145"/>
      <c r="C4" s="16" t="s">
        <v>18</v>
      </c>
      <c r="D4" s="338" t="s">
        <v>43</v>
      </c>
      <c r="E4" s="629">
        <v>53</v>
      </c>
      <c r="F4" s="630">
        <v>7.6560430000000004</v>
      </c>
      <c r="G4" s="629">
        <v>43</v>
      </c>
      <c r="H4" s="630">
        <v>3.189854</v>
      </c>
      <c r="I4" s="629">
        <v>51</v>
      </c>
      <c r="J4" s="630">
        <v>6.7124499999999996</v>
      </c>
      <c r="K4" s="629">
        <v>23</v>
      </c>
      <c r="L4" s="630">
        <v>2.5970339999999998</v>
      </c>
    </row>
    <row r="5" spans="2:12" ht="13.35" customHeight="1" x14ac:dyDescent="0.2">
      <c r="B5" s="145"/>
      <c r="C5" s="16" t="s">
        <v>19</v>
      </c>
      <c r="D5" s="339" t="s">
        <v>129</v>
      </c>
      <c r="E5" s="629">
        <v>0</v>
      </c>
      <c r="F5" s="630">
        <v>0</v>
      </c>
      <c r="G5" s="629">
        <v>1</v>
      </c>
      <c r="H5" s="630">
        <v>0.12188599999999999</v>
      </c>
      <c r="I5" s="629">
        <v>5</v>
      </c>
      <c r="J5" s="630">
        <v>0.95821999999999996</v>
      </c>
      <c r="K5" s="629">
        <v>2</v>
      </c>
      <c r="L5" s="630">
        <v>9.2900000000000003E-4</v>
      </c>
    </row>
    <row r="6" spans="2:12" ht="13.35" customHeight="1" x14ac:dyDescent="0.2">
      <c r="B6" s="145"/>
      <c r="C6" s="16" t="s">
        <v>20</v>
      </c>
      <c r="D6" s="338" t="s">
        <v>44</v>
      </c>
      <c r="E6" s="629">
        <v>65</v>
      </c>
      <c r="F6" s="630">
        <v>0.399337</v>
      </c>
      <c r="G6" s="629">
        <v>132</v>
      </c>
      <c r="H6" s="630">
        <v>1.3212600000000001</v>
      </c>
      <c r="I6" s="629">
        <v>142</v>
      </c>
      <c r="J6" s="630">
        <v>2.1730179999999999</v>
      </c>
      <c r="K6" s="629">
        <v>272</v>
      </c>
      <c r="L6" s="630">
        <v>1.100708</v>
      </c>
    </row>
    <row r="7" spans="2:12" ht="13.35" customHeight="1" x14ac:dyDescent="0.2">
      <c r="B7" s="145"/>
      <c r="C7" s="16" t="s">
        <v>21</v>
      </c>
      <c r="D7" s="338" t="s">
        <v>45</v>
      </c>
      <c r="E7" s="629">
        <v>50</v>
      </c>
      <c r="F7" s="630">
        <v>0.48313400000000001</v>
      </c>
      <c r="G7" s="629">
        <v>64</v>
      </c>
      <c r="H7" s="630">
        <v>0.66264699999999999</v>
      </c>
      <c r="I7" s="629">
        <v>60</v>
      </c>
      <c r="J7" s="630">
        <v>1.233903</v>
      </c>
      <c r="K7" s="629">
        <v>74</v>
      </c>
      <c r="L7" s="630">
        <v>0.87831199999999998</v>
      </c>
    </row>
    <row r="8" spans="2:12" ht="13.35" customHeight="1" x14ac:dyDescent="0.2">
      <c r="B8" s="145"/>
      <c r="C8" s="16" t="s">
        <v>22</v>
      </c>
      <c r="D8" s="338" t="s">
        <v>46</v>
      </c>
      <c r="E8" s="629">
        <v>65</v>
      </c>
      <c r="F8" s="630">
        <v>0.58923400000000004</v>
      </c>
      <c r="G8" s="629">
        <v>73</v>
      </c>
      <c r="H8" s="630">
        <v>0.86707900000000004</v>
      </c>
      <c r="I8" s="629">
        <v>60</v>
      </c>
      <c r="J8" s="630">
        <v>0.95465800000000001</v>
      </c>
      <c r="K8" s="629">
        <v>81</v>
      </c>
      <c r="L8" s="630">
        <v>0.80495300000000003</v>
      </c>
    </row>
    <row r="9" spans="2:12" ht="13.35" customHeight="1" x14ac:dyDescent="0.2">
      <c r="B9" s="145"/>
      <c r="C9" s="16" t="s">
        <v>23</v>
      </c>
      <c r="D9" s="338" t="s">
        <v>47</v>
      </c>
      <c r="E9" s="629">
        <v>116</v>
      </c>
      <c r="F9" s="630">
        <v>1.227012</v>
      </c>
      <c r="G9" s="629">
        <v>161</v>
      </c>
      <c r="H9" s="630">
        <v>1.680356</v>
      </c>
      <c r="I9" s="629">
        <v>87</v>
      </c>
      <c r="J9" s="630">
        <v>1.4500519999999999</v>
      </c>
      <c r="K9" s="629">
        <v>104</v>
      </c>
      <c r="L9" s="630">
        <v>1.199619</v>
      </c>
    </row>
    <row r="10" spans="2:12" s="50" customFormat="1" ht="13.35" customHeight="1" x14ac:dyDescent="0.2">
      <c r="B10" s="145"/>
      <c r="C10" s="16" t="s">
        <v>24</v>
      </c>
      <c r="D10" s="338" t="s">
        <v>48</v>
      </c>
      <c r="E10" s="629">
        <v>182</v>
      </c>
      <c r="F10" s="630">
        <v>1.162169</v>
      </c>
      <c r="G10" s="629">
        <v>186</v>
      </c>
      <c r="H10" s="630">
        <v>2.3731200000000001</v>
      </c>
      <c r="I10" s="629">
        <v>132</v>
      </c>
      <c r="J10" s="630">
        <v>1.893473</v>
      </c>
      <c r="K10" s="629">
        <v>204</v>
      </c>
      <c r="L10" s="630">
        <v>1.880809</v>
      </c>
    </row>
    <row r="11" spans="2:12" s="1" customFormat="1" ht="13.35" customHeight="1" x14ac:dyDescent="0.2">
      <c r="B11" s="631"/>
      <c r="C11" s="16" t="s">
        <v>25</v>
      </c>
      <c r="D11" s="338" t="s">
        <v>49</v>
      </c>
      <c r="E11" s="629">
        <v>305</v>
      </c>
      <c r="F11" s="630">
        <v>1.409435</v>
      </c>
      <c r="G11" s="629">
        <v>278</v>
      </c>
      <c r="H11" s="630">
        <v>2.4612370000000001</v>
      </c>
      <c r="I11" s="629">
        <v>158</v>
      </c>
      <c r="J11" s="630">
        <v>2.586401</v>
      </c>
      <c r="K11" s="629">
        <v>301</v>
      </c>
      <c r="L11" s="630">
        <v>2.0825049999999998</v>
      </c>
    </row>
    <row r="12" spans="2:12" s="1" customFormat="1" ht="13.35" customHeight="1" x14ac:dyDescent="0.2">
      <c r="B12" s="631"/>
      <c r="C12" s="16" t="s">
        <v>26</v>
      </c>
      <c r="D12" s="338" t="s">
        <v>50</v>
      </c>
      <c r="E12" s="629">
        <v>400</v>
      </c>
      <c r="F12" s="630">
        <v>2.902463</v>
      </c>
      <c r="G12" s="629">
        <v>303</v>
      </c>
      <c r="H12" s="630">
        <v>2.3136030000000001</v>
      </c>
      <c r="I12" s="629">
        <v>220</v>
      </c>
      <c r="J12" s="630">
        <v>1.952939</v>
      </c>
      <c r="K12" s="629">
        <v>622</v>
      </c>
      <c r="L12" s="630">
        <v>2.9964209999999998</v>
      </c>
    </row>
    <row r="13" spans="2:12" s="1" customFormat="1" ht="13.35" customHeight="1" x14ac:dyDescent="0.2">
      <c r="B13" s="631"/>
      <c r="C13" s="16" t="s">
        <v>27</v>
      </c>
      <c r="D13" s="338" t="s">
        <v>51</v>
      </c>
      <c r="E13" s="629">
        <v>416</v>
      </c>
      <c r="F13" s="630">
        <v>3.3359519999999998</v>
      </c>
      <c r="G13" s="629">
        <v>329</v>
      </c>
      <c r="H13" s="630">
        <v>2.8756729999999999</v>
      </c>
      <c r="I13" s="629">
        <v>186</v>
      </c>
      <c r="J13" s="630">
        <v>2.9133149999999999</v>
      </c>
      <c r="K13" s="629">
        <v>2000</v>
      </c>
      <c r="L13" s="630">
        <v>8.4496590000000005</v>
      </c>
    </row>
    <row r="14" spans="2:12" s="1" customFormat="1" ht="13.35" customHeight="1" x14ac:dyDescent="0.2">
      <c r="B14" s="631"/>
      <c r="C14" s="16" t="s">
        <v>28</v>
      </c>
      <c r="D14" s="338" t="s">
        <v>52</v>
      </c>
      <c r="E14" s="629">
        <v>468</v>
      </c>
      <c r="F14" s="630">
        <v>5.8240150000000002</v>
      </c>
      <c r="G14" s="629">
        <v>334</v>
      </c>
      <c r="H14" s="630">
        <v>3.2098979999999999</v>
      </c>
      <c r="I14" s="629">
        <v>152</v>
      </c>
      <c r="J14" s="630">
        <v>2.1990189999999998</v>
      </c>
      <c r="K14" s="629">
        <v>2979</v>
      </c>
      <c r="L14" s="630">
        <v>12.122977000000001</v>
      </c>
    </row>
    <row r="15" spans="2:12" customFormat="1" ht="13.35" customHeight="1" x14ac:dyDescent="0.2">
      <c r="B15" s="631"/>
      <c r="C15" s="16" t="s">
        <v>29</v>
      </c>
      <c r="D15" s="338" t="s">
        <v>53</v>
      </c>
      <c r="E15" s="629">
        <v>470</v>
      </c>
      <c r="F15" s="630">
        <v>3.2567910000000002</v>
      </c>
      <c r="G15" s="629">
        <v>335</v>
      </c>
      <c r="H15" s="630">
        <v>3.5717310000000002</v>
      </c>
      <c r="I15" s="629">
        <v>171</v>
      </c>
      <c r="J15" s="630">
        <v>2.1247739999999999</v>
      </c>
      <c r="K15" s="629">
        <v>2328</v>
      </c>
      <c r="L15" s="630">
        <v>10.600244999999999</v>
      </c>
    </row>
    <row r="16" spans="2:12" customFormat="1" ht="13.35" customHeight="1" x14ac:dyDescent="0.2">
      <c r="B16" s="631"/>
      <c r="C16" s="16" t="s">
        <v>30</v>
      </c>
      <c r="D16" s="338" t="s">
        <v>54</v>
      </c>
      <c r="E16" s="629">
        <v>570</v>
      </c>
      <c r="F16" s="630">
        <v>3.6948340000000002</v>
      </c>
      <c r="G16" s="629">
        <v>355</v>
      </c>
      <c r="H16" s="630">
        <v>4.9139119999999998</v>
      </c>
      <c r="I16" s="629">
        <v>206</v>
      </c>
      <c r="J16" s="630">
        <v>2.5438290000000001</v>
      </c>
      <c r="K16" s="629">
        <v>1426</v>
      </c>
      <c r="L16" s="630">
        <v>7.5371969999999999</v>
      </c>
    </row>
    <row r="17" spans="2:12" customFormat="1" ht="13.35" customHeight="1" x14ac:dyDescent="0.2">
      <c r="B17" s="631"/>
      <c r="C17" s="16" t="s">
        <v>31</v>
      </c>
      <c r="D17" s="338" t="s">
        <v>55</v>
      </c>
      <c r="E17" s="629">
        <v>767</v>
      </c>
      <c r="F17" s="630">
        <v>4.2895909999999997</v>
      </c>
      <c r="G17" s="629">
        <v>470</v>
      </c>
      <c r="H17" s="630">
        <v>5.9700819999999997</v>
      </c>
      <c r="I17" s="629">
        <v>265</v>
      </c>
      <c r="J17" s="630">
        <v>3.5851980000000001</v>
      </c>
      <c r="K17" s="629">
        <v>1030</v>
      </c>
      <c r="L17" s="630">
        <v>6.0368950000000003</v>
      </c>
    </row>
    <row r="18" spans="2:12" customFormat="1" ht="13.35" customHeight="1" x14ac:dyDescent="0.2">
      <c r="B18" s="631"/>
      <c r="C18" s="16" t="s">
        <v>32</v>
      </c>
      <c r="D18" s="338" t="s">
        <v>56</v>
      </c>
      <c r="E18" s="629">
        <v>1174</v>
      </c>
      <c r="F18" s="630">
        <v>6.1977190000000002</v>
      </c>
      <c r="G18" s="629">
        <v>670</v>
      </c>
      <c r="H18" s="630">
        <v>8.3160310000000006</v>
      </c>
      <c r="I18" s="629">
        <v>365</v>
      </c>
      <c r="J18" s="630">
        <v>3.058608</v>
      </c>
      <c r="K18" s="629">
        <v>805</v>
      </c>
      <c r="L18" s="630">
        <v>5.4181629999999998</v>
      </c>
    </row>
    <row r="19" spans="2:12" customFormat="1" ht="13.35" customHeight="1" x14ac:dyDescent="0.2">
      <c r="B19" s="631"/>
      <c r="C19" s="16" t="s">
        <v>33</v>
      </c>
      <c r="D19" s="338" t="s">
        <v>57</v>
      </c>
      <c r="E19" s="629">
        <v>1264</v>
      </c>
      <c r="F19" s="630">
        <v>6.0630329999999999</v>
      </c>
      <c r="G19" s="629">
        <v>899</v>
      </c>
      <c r="H19" s="630">
        <v>11.04021</v>
      </c>
      <c r="I19" s="629">
        <v>459</v>
      </c>
      <c r="J19" s="630">
        <v>3.514837</v>
      </c>
      <c r="K19" s="629">
        <v>680</v>
      </c>
      <c r="L19" s="630">
        <v>4.8823429999999997</v>
      </c>
    </row>
    <row r="20" spans="2:12" customFormat="1" ht="13.35" customHeight="1" x14ac:dyDescent="0.2">
      <c r="B20" s="631"/>
      <c r="C20" s="16" t="s">
        <v>34</v>
      </c>
      <c r="D20" s="338" t="s">
        <v>58</v>
      </c>
      <c r="E20" s="629">
        <v>5023</v>
      </c>
      <c r="F20" s="630">
        <v>31.464570999999999</v>
      </c>
      <c r="G20" s="629">
        <v>8211</v>
      </c>
      <c r="H20" s="630">
        <v>111.249166</v>
      </c>
      <c r="I20" s="629">
        <v>6062</v>
      </c>
      <c r="J20" s="630">
        <v>32.628632000000003</v>
      </c>
      <c r="K20" s="629">
        <v>2575</v>
      </c>
      <c r="L20" s="630">
        <v>21.199539999999999</v>
      </c>
    </row>
    <row r="21" spans="2:12" customFormat="1" ht="13.35" customHeight="1" x14ac:dyDescent="0.2">
      <c r="B21" s="631"/>
      <c r="C21" s="16" t="s">
        <v>35</v>
      </c>
      <c r="D21" s="338" t="s">
        <v>59</v>
      </c>
      <c r="E21" s="629">
        <v>6097</v>
      </c>
      <c r="F21" s="630">
        <v>63.004097999999999</v>
      </c>
      <c r="G21" s="629">
        <v>6736</v>
      </c>
      <c r="H21" s="630">
        <v>119.445308</v>
      </c>
      <c r="I21" s="629">
        <v>6129</v>
      </c>
      <c r="J21" s="630">
        <v>58.347867999999998</v>
      </c>
      <c r="K21" s="629">
        <v>3363</v>
      </c>
      <c r="L21" s="630">
        <v>46.214939000000001</v>
      </c>
    </row>
    <row r="22" spans="2:12" customFormat="1" ht="13.35" customHeight="1" x14ac:dyDescent="0.2">
      <c r="B22" s="631"/>
      <c r="C22" s="16" t="s">
        <v>36</v>
      </c>
      <c r="D22" s="338" t="s">
        <v>60</v>
      </c>
      <c r="E22" s="629">
        <v>2714</v>
      </c>
      <c r="F22" s="630">
        <v>58.501922</v>
      </c>
      <c r="G22" s="629">
        <v>3058</v>
      </c>
      <c r="H22" s="630">
        <v>82.985769000000005</v>
      </c>
      <c r="I22" s="629">
        <v>5056</v>
      </c>
      <c r="J22" s="630">
        <v>69.378376000000003</v>
      </c>
      <c r="K22" s="629">
        <v>2365</v>
      </c>
      <c r="L22" s="630">
        <v>56.107888000000003</v>
      </c>
    </row>
    <row r="23" spans="2:12" customFormat="1" ht="13.35" customHeight="1" x14ac:dyDescent="0.2">
      <c r="B23" s="631"/>
      <c r="C23" s="16" t="s">
        <v>37</v>
      </c>
      <c r="D23" s="338" t="s">
        <v>61</v>
      </c>
      <c r="E23" s="629">
        <v>2393</v>
      </c>
      <c r="F23" s="630">
        <v>79.021833000000001</v>
      </c>
      <c r="G23" s="629">
        <v>1723</v>
      </c>
      <c r="H23" s="630">
        <v>77.361019999999996</v>
      </c>
      <c r="I23" s="629">
        <v>2632</v>
      </c>
      <c r="J23" s="630">
        <v>78.357000999999997</v>
      </c>
      <c r="K23" s="629">
        <v>1990</v>
      </c>
      <c r="L23" s="630">
        <v>61.537571</v>
      </c>
    </row>
    <row r="24" spans="2:12" customFormat="1" ht="13.35" customHeight="1" x14ac:dyDescent="0.2">
      <c r="B24" s="631"/>
      <c r="C24" s="16" t="s">
        <v>38</v>
      </c>
      <c r="D24" s="338" t="s">
        <v>62</v>
      </c>
      <c r="E24" s="629">
        <v>3394</v>
      </c>
      <c r="F24" s="630">
        <v>219.898788</v>
      </c>
      <c r="G24" s="629">
        <v>4563</v>
      </c>
      <c r="H24" s="630">
        <v>416.10519399999998</v>
      </c>
      <c r="I24" s="629">
        <v>4894</v>
      </c>
      <c r="J24" s="630">
        <v>289.84000600000002</v>
      </c>
      <c r="K24" s="629">
        <v>3531</v>
      </c>
      <c r="L24" s="630">
        <v>220.81566699999999</v>
      </c>
    </row>
    <row r="25" spans="2:12" customFormat="1" ht="13.35" customHeight="1" x14ac:dyDescent="0.2">
      <c r="B25" s="631"/>
      <c r="C25" s="16" t="s">
        <v>39</v>
      </c>
      <c r="D25" s="338" t="s">
        <v>63</v>
      </c>
      <c r="E25" s="629">
        <v>2220</v>
      </c>
      <c r="F25" s="630">
        <v>247.94810699999999</v>
      </c>
      <c r="G25" s="629">
        <v>2696</v>
      </c>
      <c r="H25" s="630">
        <v>316.76187399999998</v>
      </c>
      <c r="I25" s="629">
        <v>2813</v>
      </c>
      <c r="J25" s="630">
        <v>290.92378100000002</v>
      </c>
      <c r="K25" s="629">
        <v>2672</v>
      </c>
      <c r="L25" s="630">
        <v>336.51260100000002</v>
      </c>
    </row>
    <row r="26" spans="2:12" customFormat="1" ht="13.35" customHeight="1" x14ac:dyDescent="0.2">
      <c r="B26" s="631"/>
      <c r="C26" s="16" t="s">
        <v>40</v>
      </c>
      <c r="D26" s="338" t="s">
        <v>64</v>
      </c>
      <c r="E26" s="629">
        <v>3709</v>
      </c>
      <c r="F26" s="630">
        <v>957.74485300000003</v>
      </c>
      <c r="G26" s="629">
        <v>4069</v>
      </c>
      <c r="H26" s="630">
        <v>956.33808799999997</v>
      </c>
      <c r="I26" s="629">
        <v>4680</v>
      </c>
      <c r="J26" s="630">
        <v>1051.2407069999999</v>
      </c>
      <c r="K26" s="629">
        <v>4899</v>
      </c>
      <c r="L26" s="630">
        <v>1258.7518950000001</v>
      </c>
    </row>
    <row r="27" spans="2:12" customFormat="1" ht="13.35" customHeight="1" x14ac:dyDescent="0.2">
      <c r="B27" s="631"/>
      <c r="C27" s="16" t="s">
        <v>41</v>
      </c>
      <c r="D27" s="338" t="s">
        <v>65</v>
      </c>
      <c r="E27" s="629">
        <v>1871</v>
      </c>
      <c r="F27" s="630">
        <v>1615.9311090000001</v>
      </c>
      <c r="G27" s="629">
        <v>1759</v>
      </c>
      <c r="H27" s="630">
        <v>1336.9174029999999</v>
      </c>
      <c r="I27" s="629">
        <v>2152</v>
      </c>
      <c r="J27" s="630">
        <v>1899.039139</v>
      </c>
      <c r="K27" s="629">
        <v>2300</v>
      </c>
      <c r="L27" s="630">
        <v>2131.4660269999999</v>
      </c>
    </row>
    <row r="28" spans="2:12" customFormat="1" ht="13.35" customHeight="1" x14ac:dyDescent="0.2">
      <c r="B28" s="632"/>
      <c r="C28" s="280" t="s">
        <v>42</v>
      </c>
      <c r="D28" s="434" t="s">
        <v>66</v>
      </c>
      <c r="E28" s="633">
        <v>658</v>
      </c>
      <c r="F28" s="634">
        <v>2585.9938529999999</v>
      </c>
      <c r="G28" s="633">
        <v>505</v>
      </c>
      <c r="H28" s="634">
        <v>1756.785605</v>
      </c>
      <c r="I28" s="633">
        <v>629</v>
      </c>
      <c r="J28" s="634">
        <v>2240.2442019999999</v>
      </c>
      <c r="K28" s="633">
        <v>731</v>
      </c>
      <c r="L28" s="634">
        <v>3282.8074259999999</v>
      </c>
    </row>
    <row r="29" spans="2:12" customFormat="1" ht="13.35" customHeight="1" x14ac:dyDescent="0.2">
      <c r="B29" s="632"/>
      <c r="C29" s="635" t="s">
        <v>8</v>
      </c>
      <c r="D29" s="636"/>
      <c r="E29" s="637">
        <f t="shared" ref="E29:L29" si="0">SUM(E4:E28)</f>
        <v>34444</v>
      </c>
      <c r="F29" s="638">
        <f t="shared" si="0"/>
        <v>5907.9998960000003</v>
      </c>
      <c r="G29" s="637">
        <f t="shared" si="0"/>
        <v>37953</v>
      </c>
      <c r="H29" s="638">
        <f t="shared" si="0"/>
        <v>5228.838006</v>
      </c>
      <c r="I29" s="637">
        <f t="shared" si="0"/>
        <v>37766</v>
      </c>
      <c r="J29" s="638">
        <f t="shared" si="0"/>
        <v>6049.8544059999995</v>
      </c>
      <c r="K29" s="637">
        <f t="shared" si="0"/>
        <v>37357</v>
      </c>
      <c r="L29" s="638">
        <f t="shared" si="0"/>
        <v>7484.0023229999988</v>
      </c>
    </row>
    <row r="30" spans="2:12" s="1" customFormat="1" ht="13.35" customHeight="1" x14ac:dyDescent="0.2"/>
    <row r="31" spans="2:12" s="1" customFormat="1" ht="13.35" customHeight="1" x14ac:dyDescent="0.2"/>
    <row r="32" spans="2:12" customFormat="1" ht="13.35" customHeight="1" x14ac:dyDescent="0.2">
      <c r="G32" s="352" t="s">
        <v>371</v>
      </c>
      <c r="I32" s="1"/>
    </row>
    <row r="33" spans="4:12" customFormat="1" ht="13.35" customHeight="1" x14ac:dyDescent="0.2">
      <c r="I33" s="1"/>
    </row>
    <row r="34" spans="4:12" customFormat="1" ht="13.35" hidden="1" customHeight="1" x14ac:dyDescent="0.2">
      <c r="D34" s="106" t="s">
        <v>230</v>
      </c>
      <c r="E34" s="84">
        <f>A2.5.1!E8-E29</f>
        <v>0</v>
      </c>
      <c r="F34" s="84">
        <f>A2.5.1!F8-F29</f>
        <v>0</v>
      </c>
      <c r="G34" s="84">
        <f>A2.5.1!G8-G29</f>
        <v>0</v>
      </c>
      <c r="H34" s="84">
        <f>A2.5.1!H8-H29</f>
        <v>0</v>
      </c>
      <c r="I34" s="84">
        <f>A2.5.1!I8-I29</f>
        <v>0</v>
      </c>
      <c r="J34" s="84">
        <f>A2.5.1!J8-J29</f>
        <v>0</v>
      </c>
      <c r="K34" s="84">
        <f>A2.5.1!K8-K29</f>
        <v>0</v>
      </c>
      <c r="L34" s="107">
        <f>A2.5.1!L8-L29</f>
        <v>0</v>
      </c>
    </row>
    <row r="35" spans="4:12" customFormat="1" ht="13.35" customHeight="1" x14ac:dyDescent="0.2">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tabColor theme="7" tint="0.79998168889431442"/>
    <pageSetUpPr fitToPage="1"/>
  </sheetPr>
  <dimension ref="B1:L32"/>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2:12" s="8" customFormat="1" ht="15" customHeight="1" x14ac:dyDescent="0.2">
      <c r="B1" s="439" t="s">
        <v>427</v>
      </c>
      <c r="C1" s="311"/>
      <c r="D1" s="311"/>
      <c r="E1" s="311"/>
      <c r="F1" s="311"/>
      <c r="G1" s="311"/>
      <c r="H1" s="311"/>
      <c r="I1" s="311"/>
      <c r="J1" s="311"/>
      <c r="K1" s="311"/>
      <c r="L1" s="311"/>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194</v>
      </c>
      <c r="D3" s="1030"/>
      <c r="E3" s="623" t="s">
        <v>17</v>
      </c>
      <c r="F3" s="624" t="s">
        <v>85</v>
      </c>
      <c r="G3" s="623" t="s">
        <v>17</v>
      </c>
      <c r="H3" s="624" t="s">
        <v>85</v>
      </c>
      <c r="I3" s="623" t="s">
        <v>17</v>
      </c>
      <c r="J3" s="624" t="s">
        <v>85</v>
      </c>
      <c r="K3" s="623" t="s">
        <v>17</v>
      </c>
      <c r="L3" s="624" t="s">
        <v>85</v>
      </c>
    </row>
    <row r="4" spans="2:12" ht="13.35" customHeight="1" x14ac:dyDescent="0.2">
      <c r="B4" s="145"/>
      <c r="C4" s="16" t="s">
        <v>18</v>
      </c>
      <c r="D4" s="338" t="s">
        <v>43</v>
      </c>
      <c r="E4" s="639">
        <f>A2.5.3!E4/A2.5.3!E$29</f>
        <v>1.5387295319939612E-3</v>
      </c>
      <c r="F4" s="640">
        <f>A2.5.3!F4/A2.5.3!F$29</f>
        <v>1.2958773078488896E-3</v>
      </c>
      <c r="G4" s="639">
        <f>A2.5.3!G4/A2.5.3!G$29</f>
        <v>1.1329802650646853E-3</v>
      </c>
      <c r="H4" s="640">
        <f>A2.5.3!H4/A2.5.3!H$29</f>
        <v>6.1005026285757913E-4</v>
      </c>
      <c r="I4" s="639">
        <f>A2.5.3!I4/A2.5.3!I$29</f>
        <v>1.3504210136101255E-3</v>
      </c>
      <c r="J4" s="640">
        <f>A2.5.3!J4/A2.5.3!J$29</f>
        <v>1.1095225685667518E-3</v>
      </c>
      <c r="K4" s="639">
        <f>A2.5.3!K4/A2.5.3!K$29</f>
        <v>6.1568113071178089E-4</v>
      </c>
      <c r="L4" s="640">
        <f>A2.5.3!L4/A2.5.3!L$29</f>
        <v>3.4701138347041107E-4</v>
      </c>
    </row>
    <row r="5" spans="2:12" ht="13.35" customHeight="1" x14ac:dyDescent="0.2">
      <c r="B5" s="145"/>
      <c r="C5" s="16" t="s">
        <v>19</v>
      </c>
      <c r="D5" s="339" t="s">
        <v>129</v>
      </c>
      <c r="E5" s="639">
        <f>A2.5.3!E5/A2.5.3!E$29</f>
        <v>0</v>
      </c>
      <c r="F5" s="640">
        <f>A2.5.3!F5/A2.5.3!F$29</f>
        <v>0</v>
      </c>
      <c r="G5" s="639">
        <f>A2.5.3!G5/A2.5.3!G$29</f>
        <v>2.6348378257318262E-5</v>
      </c>
      <c r="H5" s="640">
        <f>A2.5.3!H5/A2.5.3!H$29</f>
        <v>2.3310341582611269E-5</v>
      </c>
      <c r="I5" s="639">
        <f>A2.5.3!I5/A2.5.3!I$29</f>
        <v>1.3239421702060055E-4</v>
      </c>
      <c r="J5" s="640">
        <f>A2.5.3!J5/A2.5.3!J$29</f>
        <v>1.5838728268397276E-4</v>
      </c>
      <c r="K5" s="639">
        <f>A2.5.3!K5/A2.5.3!K$29</f>
        <v>5.3537489627111383E-5</v>
      </c>
      <c r="L5" s="640">
        <f>A2.5.3!L5/A2.5.3!L$29</f>
        <v>1.2413144196187341E-7</v>
      </c>
    </row>
    <row r="6" spans="2:12" ht="13.35" customHeight="1" x14ac:dyDescent="0.2">
      <c r="B6" s="145"/>
      <c r="C6" s="16" t="s">
        <v>20</v>
      </c>
      <c r="D6" s="338" t="s">
        <v>44</v>
      </c>
      <c r="E6" s="639">
        <f>A2.5.3!E6/A2.5.3!E$29</f>
        <v>1.8871211241435373E-3</v>
      </c>
      <c r="F6" s="640">
        <f>A2.5.3!F6/A2.5.3!F$29</f>
        <v>6.7592587513478174E-5</v>
      </c>
      <c r="G6" s="639">
        <f>A2.5.3!G6/A2.5.3!G$29</f>
        <v>3.4779859299660107E-3</v>
      </c>
      <c r="H6" s="640">
        <f>A2.5.3!H6/A2.5.3!H$29</f>
        <v>2.5268711680948567E-4</v>
      </c>
      <c r="I6" s="639">
        <f>A2.5.3!I6/A2.5.3!I$29</f>
        <v>3.7599957633850552E-3</v>
      </c>
      <c r="J6" s="640">
        <f>A2.5.3!J6/A2.5.3!J$29</f>
        <v>3.5918517276132942E-4</v>
      </c>
      <c r="K6" s="639">
        <f>A2.5.3!K6/A2.5.3!K$29</f>
        <v>7.2810985892871483E-3</v>
      </c>
      <c r="L6" s="640">
        <f>A2.5.3!L6/A2.5.3!L$29</f>
        <v>1.4707478064474676E-4</v>
      </c>
    </row>
    <row r="7" spans="2:12" ht="13.35" customHeight="1" x14ac:dyDescent="0.2">
      <c r="B7" s="145"/>
      <c r="C7" s="16" t="s">
        <v>21</v>
      </c>
      <c r="D7" s="338" t="s">
        <v>45</v>
      </c>
      <c r="E7" s="639">
        <f>A2.5.3!E7/A2.5.3!E$29</f>
        <v>1.4516316339565672E-3</v>
      </c>
      <c r="F7" s="640">
        <f>A2.5.3!F7/A2.5.3!F$29</f>
        <v>8.1776237052256037E-5</v>
      </c>
      <c r="G7" s="639">
        <f>A2.5.3!G7/A2.5.3!G$29</f>
        <v>1.6862962084683688E-3</v>
      </c>
      <c r="H7" s="640">
        <f>A2.5.3!H7/A2.5.3!H$29</f>
        <v>1.267293037649329E-4</v>
      </c>
      <c r="I7" s="639">
        <f>A2.5.3!I7/A2.5.3!I$29</f>
        <v>1.5887306042472065E-3</v>
      </c>
      <c r="J7" s="640">
        <f>A2.5.3!J7/A2.5.3!J$29</f>
        <v>2.0395581731293651E-4</v>
      </c>
      <c r="K7" s="639">
        <f>A2.5.3!K7/A2.5.3!K$29</f>
        <v>1.9808871162031211E-3</v>
      </c>
      <c r="L7" s="640">
        <f>A2.5.3!L7/A2.5.3!L$29</f>
        <v>1.1735859532014741E-4</v>
      </c>
    </row>
    <row r="8" spans="2:12" ht="13.35" customHeight="1" x14ac:dyDescent="0.2">
      <c r="B8" s="145"/>
      <c r="C8" s="16" t="s">
        <v>22</v>
      </c>
      <c r="D8" s="338" t="s">
        <v>46</v>
      </c>
      <c r="E8" s="639">
        <f>A2.5.3!E8/A2.5.3!E$29</f>
        <v>1.8871211241435373E-3</v>
      </c>
      <c r="F8" s="640">
        <f>A2.5.3!F8/A2.5.3!F$29</f>
        <v>9.9734937436092339E-5</v>
      </c>
      <c r="G8" s="639">
        <f>A2.5.3!G8/A2.5.3!G$29</f>
        <v>1.923431612784233E-3</v>
      </c>
      <c r="H8" s="640">
        <f>A2.5.3!H8/A2.5.3!H$29</f>
        <v>1.6582632680626978E-4</v>
      </c>
      <c r="I8" s="639">
        <f>A2.5.3!I8/A2.5.3!I$29</f>
        <v>1.5887306042472065E-3</v>
      </c>
      <c r="J8" s="640">
        <f>A2.5.3!J8/A2.5.3!J$29</f>
        <v>1.5779850818446292E-4</v>
      </c>
      <c r="K8" s="639">
        <f>A2.5.3!K8/A2.5.3!K$29</f>
        <v>2.1682683298980109E-3</v>
      </c>
      <c r="L8" s="640">
        <f>A2.5.3!L8/A2.5.3!L$29</f>
        <v>1.0755648719218071E-4</v>
      </c>
    </row>
    <row r="9" spans="2:12" ht="13.35" customHeight="1" x14ac:dyDescent="0.2">
      <c r="B9" s="145"/>
      <c r="C9" s="16" t="s">
        <v>23</v>
      </c>
      <c r="D9" s="338" t="s">
        <v>47</v>
      </c>
      <c r="E9" s="639">
        <f>A2.5.3!E9/A2.5.3!E$29</f>
        <v>3.3677853907792357E-3</v>
      </c>
      <c r="F9" s="640">
        <f>A2.5.3!F9/A2.5.3!F$29</f>
        <v>2.0768653039935665E-4</v>
      </c>
      <c r="G9" s="639">
        <f>A2.5.3!G9/A2.5.3!G$29</f>
        <v>4.24208889942824E-3</v>
      </c>
      <c r="H9" s="640">
        <f>A2.5.3!H9/A2.5.3!H$29</f>
        <v>3.213631782189123E-4</v>
      </c>
      <c r="I9" s="639">
        <f>A2.5.3!I9/A2.5.3!I$29</f>
        <v>2.3036593761584494E-3</v>
      </c>
      <c r="J9" s="640">
        <f>A2.5.3!J9/A2.5.3!J$29</f>
        <v>2.3968378454891366E-4</v>
      </c>
      <c r="K9" s="639">
        <f>A2.5.3!K9/A2.5.3!K$29</f>
        <v>2.783949460609792E-3</v>
      </c>
      <c r="L9" s="640">
        <f>A2.5.3!L9/A2.5.3!L$29</f>
        <v>1.6029110470921486E-4</v>
      </c>
    </row>
    <row r="10" spans="2:12" s="50" customFormat="1" ht="13.35" customHeight="1" x14ac:dyDescent="0.2">
      <c r="B10" s="145"/>
      <c r="C10" s="16" t="s">
        <v>24</v>
      </c>
      <c r="D10" s="338" t="s">
        <v>48</v>
      </c>
      <c r="E10" s="639">
        <f>A2.5.3!E10/A2.5.3!E$29</f>
        <v>5.2839391476019043E-3</v>
      </c>
      <c r="F10" s="640">
        <f>A2.5.3!F10/A2.5.3!F$29</f>
        <v>1.9671107319870542E-4</v>
      </c>
      <c r="G10" s="639">
        <f>A2.5.3!G10/A2.5.3!G$29</f>
        <v>4.9007983558611969E-3</v>
      </c>
      <c r="H10" s="640">
        <f>A2.5.3!H10/A2.5.3!H$29</f>
        <v>4.538522702896679E-4</v>
      </c>
      <c r="I10" s="639">
        <f>A2.5.3!I10/A2.5.3!I$29</f>
        <v>3.4952073293438544E-3</v>
      </c>
      <c r="J10" s="640">
        <f>A2.5.3!J10/A2.5.3!J$29</f>
        <v>3.1297827566265568E-4</v>
      </c>
      <c r="K10" s="639">
        <f>A2.5.3!K10/A2.5.3!K$29</f>
        <v>5.4608239419653608E-3</v>
      </c>
      <c r="L10" s="640">
        <f>A2.5.3!L10/A2.5.3!L$29</f>
        <v>2.5131058474151685E-4</v>
      </c>
    </row>
    <row r="11" spans="2:12" s="1" customFormat="1" ht="13.35" customHeight="1" x14ac:dyDescent="0.2">
      <c r="B11" s="631"/>
      <c r="C11" s="16" t="s">
        <v>25</v>
      </c>
      <c r="D11" s="338" t="s">
        <v>49</v>
      </c>
      <c r="E11" s="639">
        <f>A2.5.3!E11/A2.5.3!E$29</f>
        <v>8.8549529671350605E-3</v>
      </c>
      <c r="F11" s="640">
        <f>A2.5.3!F11/A2.5.3!F$29</f>
        <v>2.3856381598013487E-4</v>
      </c>
      <c r="G11" s="639">
        <f>A2.5.3!G11/A2.5.3!G$29</f>
        <v>7.3248491555344773E-3</v>
      </c>
      <c r="H11" s="640">
        <f>A2.5.3!H11/A2.5.3!H$29</f>
        <v>4.7070438923060414E-4</v>
      </c>
      <c r="I11" s="639">
        <f>A2.5.3!I11/A2.5.3!I$29</f>
        <v>4.183657257850977E-3</v>
      </c>
      <c r="J11" s="640">
        <f>A2.5.3!J11/A2.5.3!J$29</f>
        <v>4.2751458571216403E-4</v>
      </c>
      <c r="K11" s="639">
        <f>A2.5.3!K11/A2.5.3!K$29</f>
        <v>8.0573921888802639E-3</v>
      </c>
      <c r="L11" s="640">
        <f>A2.5.3!L11/A2.5.3!L$29</f>
        <v>2.7826087033671812E-4</v>
      </c>
    </row>
    <row r="12" spans="2:12" s="1" customFormat="1" ht="13.35" customHeight="1" x14ac:dyDescent="0.2">
      <c r="B12" s="631"/>
      <c r="C12" s="16" t="s">
        <v>26</v>
      </c>
      <c r="D12" s="338" t="s">
        <v>50</v>
      </c>
      <c r="E12" s="639">
        <f>A2.5.3!E12/A2.5.3!E$29</f>
        <v>1.1613053071652538E-2</v>
      </c>
      <c r="F12" s="640">
        <f>A2.5.3!F12/A2.5.3!F$29</f>
        <v>4.9127675204684875E-4</v>
      </c>
      <c r="G12" s="639">
        <f>A2.5.3!G12/A2.5.3!G$29</f>
        <v>7.9835586119674333E-3</v>
      </c>
      <c r="H12" s="640">
        <f>A2.5.3!H12/A2.5.3!H$29</f>
        <v>4.424698178343221E-4</v>
      </c>
      <c r="I12" s="639">
        <f>A2.5.3!I12/A2.5.3!I$29</f>
        <v>5.8253455489064238E-3</v>
      </c>
      <c r="J12" s="640">
        <f>A2.5.3!J12/A2.5.3!J$29</f>
        <v>3.2280760311573025E-4</v>
      </c>
      <c r="K12" s="639">
        <f>A2.5.3!K12/A2.5.3!K$29</f>
        <v>1.6650159274031642E-2</v>
      </c>
      <c r="L12" s="640">
        <f>A2.5.3!L12/A2.5.3!L$29</f>
        <v>4.0037681319143013E-4</v>
      </c>
    </row>
    <row r="13" spans="2:12" s="1" customFormat="1" ht="13.35" customHeight="1" x14ac:dyDescent="0.2">
      <c r="B13" s="631"/>
      <c r="C13" s="16" t="s">
        <v>27</v>
      </c>
      <c r="D13" s="338" t="s">
        <v>51</v>
      </c>
      <c r="E13" s="639">
        <f>A2.5.3!E13/A2.5.3!E$29</f>
        <v>1.2077575194518639E-2</v>
      </c>
      <c r="F13" s="640">
        <f>A2.5.3!F13/A2.5.3!F$29</f>
        <v>5.6464997608727098E-4</v>
      </c>
      <c r="G13" s="639">
        <f>A2.5.3!G13/A2.5.3!G$29</f>
        <v>8.6686164466577079E-3</v>
      </c>
      <c r="H13" s="640">
        <f>A2.5.3!H13/A2.5.3!H$29</f>
        <v>5.4996406404256846E-4</v>
      </c>
      <c r="I13" s="639">
        <f>A2.5.3!I13/A2.5.3!I$29</f>
        <v>4.9250648731663403E-3</v>
      </c>
      <c r="J13" s="640">
        <f>A2.5.3!J13/A2.5.3!J$29</f>
        <v>4.815512580122081E-4</v>
      </c>
      <c r="K13" s="639">
        <f>A2.5.3!K13/A2.5.3!K$29</f>
        <v>5.3537489627111384E-2</v>
      </c>
      <c r="L13" s="640">
        <f>A2.5.3!L13/A2.5.3!L$29</f>
        <v>1.1290294464543823E-3</v>
      </c>
    </row>
    <row r="14" spans="2:12" s="1" customFormat="1" ht="13.35" customHeight="1" x14ac:dyDescent="0.2">
      <c r="B14" s="631"/>
      <c r="C14" s="16" t="s">
        <v>28</v>
      </c>
      <c r="D14" s="338" t="s">
        <v>52</v>
      </c>
      <c r="E14" s="639">
        <f>A2.5.3!E14/A2.5.3!E$29</f>
        <v>1.3587272093833468E-2</v>
      </c>
      <c r="F14" s="640">
        <f>A2.5.3!F14/A2.5.3!F$29</f>
        <v>9.8578454680460265E-4</v>
      </c>
      <c r="G14" s="639">
        <f>A2.5.3!G14/A2.5.3!G$29</f>
        <v>8.8003583379442987E-3</v>
      </c>
      <c r="H14" s="640">
        <f>A2.5.3!H14/A2.5.3!H$29</f>
        <v>6.138836193274105E-4</v>
      </c>
      <c r="I14" s="639">
        <f>A2.5.3!I14/A2.5.3!I$29</f>
        <v>4.0247841974262568E-3</v>
      </c>
      <c r="J14" s="640">
        <f>A2.5.3!J14/A2.5.3!J$29</f>
        <v>3.634829621385768E-4</v>
      </c>
      <c r="K14" s="639">
        <f>A2.5.3!K14/A2.5.3!K$29</f>
        <v>7.9744090799582404E-2</v>
      </c>
      <c r="L14" s="640">
        <f>A2.5.3!L14/A2.5.3!L$29</f>
        <v>1.6198521161255395E-3</v>
      </c>
    </row>
    <row r="15" spans="2:12" customFormat="1" ht="13.35" customHeight="1" x14ac:dyDescent="0.2">
      <c r="B15" s="631"/>
      <c r="C15" s="16" t="s">
        <v>29</v>
      </c>
      <c r="D15" s="338" t="s">
        <v>53</v>
      </c>
      <c r="E15" s="639">
        <f>A2.5.3!E15/A2.5.3!E$29</f>
        <v>1.3645337359191732E-2</v>
      </c>
      <c r="F15" s="640">
        <f>A2.5.3!F15/A2.5.3!F$29</f>
        <v>5.5125102527591515E-4</v>
      </c>
      <c r="G15" s="639">
        <f>A2.5.3!G15/A2.5.3!G$29</f>
        <v>8.8267067162016172E-3</v>
      </c>
      <c r="H15" s="640">
        <f>A2.5.3!H15/A2.5.3!H$29</f>
        <v>6.8308312399456659E-4</v>
      </c>
      <c r="I15" s="639">
        <f>A2.5.3!I15/A2.5.3!I$29</f>
        <v>4.5278822221045383E-3</v>
      </c>
      <c r="J15" s="640">
        <f>A2.5.3!J15/A2.5.3!J$29</f>
        <v>3.5121076598020864E-4</v>
      </c>
      <c r="K15" s="639">
        <f>A2.5.3!K15/A2.5.3!K$29</f>
        <v>6.2317637925957653E-2</v>
      </c>
      <c r="L15" s="640">
        <f>A2.5.3!L15/A2.5.3!L$29</f>
        <v>1.4163871872972427E-3</v>
      </c>
    </row>
    <row r="16" spans="2:12" customFormat="1" ht="13.35" customHeight="1" x14ac:dyDescent="0.2">
      <c r="B16" s="631"/>
      <c r="C16" s="16" t="s">
        <v>30</v>
      </c>
      <c r="D16" s="338" t="s">
        <v>54</v>
      </c>
      <c r="E16" s="639">
        <f>A2.5.3!E16/A2.5.3!E$29</f>
        <v>1.6548600627104865E-2</v>
      </c>
      <c r="F16" s="640">
        <f>A2.5.3!F16/A2.5.3!F$29</f>
        <v>6.253950685580716E-4</v>
      </c>
      <c r="G16" s="639">
        <f>A2.5.3!G16/A2.5.3!G$29</f>
        <v>9.3536742813479824E-3</v>
      </c>
      <c r="H16" s="640">
        <f>A2.5.3!H16/A2.5.3!H$29</f>
        <v>9.3977132096296958E-4</v>
      </c>
      <c r="I16" s="639">
        <f>A2.5.3!I16/A2.5.3!I$29</f>
        <v>5.4546417412487426E-3</v>
      </c>
      <c r="J16" s="640">
        <f>A2.5.3!J16/A2.5.3!J$29</f>
        <v>4.2047772215429415E-4</v>
      </c>
      <c r="K16" s="639">
        <f>A2.5.3!K16/A2.5.3!K$29</f>
        <v>3.8172230104130414E-2</v>
      </c>
      <c r="L16" s="640">
        <f>A2.5.3!L16/A2.5.3!L$29</f>
        <v>1.0071077846724502E-3</v>
      </c>
    </row>
    <row r="17" spans="2:12" customFormat="1" ht="13.35" customHeight="1" x14ac:dyDescent="0.2">
      <c r="B17" s="631"/>
      <c r="C17" s="16" t="s">
        <v>31</v>
      </c>
      <c r="D17" s="338" t="s">
        <v>55</v>
      </c>
      <c r="E17" s="639">
        <f>A2.5.3!E17/A2.5.3!E$29</f>
        <v>2.2268029264893741E-2</v>
      </c>
      <c r="F17" s="640">
        <f>A2.5.3!F17/A2.5.3!F$29</f>
        <v>7.2606484013384271E-4</v>
      </c>
      <c r="G17" s="639">
        <f>A2.5.3!G17/A2.5.3!G$29</f>
        <v>1.2383737780939583E-2</v>
      </c>
      <c r="H17" s="640">
        <f>A2.5.3!H17/A2.5.3!H$29</f>
        <v>1.1417607493575887E-3</v>
      </c>
      <c r="I17" s="639">
        <f>A2.5.3!I17/A2.5.3!I$29</f>
        <v>7.0168935020918288E-3</v>
      </c>
      <c r="J17" s="640">
        <f>A2.5.3!J17/A2.5.3!J$29</f>
        <v>5.9260897195217565E-4</v>
      </c>
      <c r="K17" s="639">
        <f>A2.5.3!K17/A2.5.3!K$29</f>
        <v>2.7571807157962362E-2</v>
      </c>
      <c r="L17" s="640">
        <f>A2.5.3!L17/A2.5.3!L$29</f>
        <v>8.066399153093904E-4</v>
      </c>
    </row>
    <row r="18" spans="2:12" customFormat="1" ht="13.35" customHeight="1" x14ac:dyDescent="0.2">
      <c r="B18" s="631"/>
      <c r="C18" s="16" t="s">
        <v>32</v>
      </c>
      <c r="D18" s="338" t="s">
        <v>56</v>
      </c>
      <c r="E18" s="639">
        <f>A2.5.3!E18/A2.5.3!E$29</f>
        <v>3.4084310765300198E-2</v>
      </c>
      <c r="F18" s="640">
        <f>A2.5.3!F18/A2.5.3!F$29</f>
        <v>1.0490384409444816E-3</v>
      </c>
      <c r="G18" s="639">
        <f>A2.5.3!G18/A2.5.3!G$29</f>
        <v>1.7653413432403234E-2</v>
      </c>
      <c r="H18" s="640">
        <f>A2.5.3!H18/A2.5.3!H$29</f>
        <v>1.5904166452388659E-3</v>
      </c>
      <c r="I18" s="639">
        <f>A2.5.3!I18/A2.5.3!I$29</f>
        <v>9.6647778425038387E-3</v>
      </c>
      <c r="J18" s="640">
        <f>A2.5.3!J18/A2.5.3!J$29</f>
        <v>5.0556720785984485E-4</v>
      </c>
      <c r="K18" s="639">
        <f>A2.5.3!K18/A2.5.3!K$29</f>
        <v>2.1548839574912333E-2</v>
      </c>
      <c r="L18" s="640">
        <f>A2.5.3!L18/A2.5.3!L$29</f>
        <v>7.2396596983258319E-4</v>
      </c>
    </row>
    <row r="19" spans="2:12" customFormat="1" ht="13.35" customHeight="1" x14ac:dyDescent="0.2">
      <c r="B19" s="631"/>
      <c r="C19" s="16" t="s">
        <v>33</v>
      </c>
      <c r="D19" s="338" t="s">
        <v>57</v>
      </c>
      <c r="E19" s="639">
        <f>A2.5.3!E19/A2.5.3!E$29</f>
        <v>3.669724770642202E-2</v>
      </c>
      <c r="F19" s="640">
        <f>A2.5.3!F19/A2.5.3!F$29</f>
        <v>1.026241216440265E-3</v>
      </c>
      <c r="G19" s="639">
        <f>A2.5.3!G19/A2.5.3!G$29</f>
        <v>2.3687192053329118E-2</v>
      </c>
      <c r="H19" s="640">
        <f>A2.5.3!H19/A2.5.3!H$29</f>
        <v>2.1114079241566774E-3</v>
      </c>
      <c r="I19" s="639">
        <f>A2.5.3!I19/A2.5.3!I$29</f>
        <v>1.215378912249113E-2</v>
      </c>
      <c r="J19" s="640">
        <f>A2.5.3!J19/A2.5.3!J$29</f>
        <v>5.8097877471466547E-4</v>
      </c>
      <c r="K19" s="639">
        <f>A2.5.3!K19/A2.5.3!K$29</f>
        <v>1.820274647321787E-2</v>
      </c>
      <c r="L19" s="640">
        <f>A2.5.3!L19/A2.5.3!L$29</f>
        <v>6.5237058852794273E-4</v>
      </c>
    </row>
    <row r="20" spans="2:12" customFormat="1" ht="13.35" customHeight="1" x14ac:dyDescent="0.2">
      <c r="B20" s="631"/>
      <c r="C20" s="16" t="s">
        <v>34</v>
      </c>
      <c r="D20" s="338" t="s">
        <v>58</v>
      </c>
      <c r="E20" s="639">
        <f>A2.5.3!E20/A2.5.3!E$29</f>
        <v>0.14583091394727674</v>
      </c>
      <c r="F20" s="640">
        <f>A2.5.3!F20/A2.5.3!F$29</f>
        <v>5.3257568642313324E-3</v>
      </c>
      <c r="G20" s="639">
        <f>A2.5.3!G20/A2.5.3!G$29</f>
        <v>0.21634653387084024</v>
      </c>
      <c r="H20" s="640">
        <f>A2.5.3!H20/A2.5.3!H$29</f>
        <v>2.127607814056269E-2</v>
      </c>
      <c r="I20" s="639">
        <f>A2.5.3!I20/A2.5.3!I$29</f>
        <v>0.16051474871577609</v>
      </c>
      <c r="J20" s="640">
        <f>A2.5.3!J20/A2.5.3!J$29</f>
        <v>5.3932921042926674E-3</v>
      </c>
      <c r="K20" s="639">
        <f>A2.5.3!K20/A2.5.3!K$29</f>
        <v>6.8929517894905909E-2</v>
      </c>
      <c r="L20" s="640">
        <f>A2.5.3!L20/A2.5.3!L$29</f>
        <v>2.8326474371672909E-3</v>
      </c>
    </row>
    <row r="21" spans="2:12" customFormat="1" ht="13.35" customHeight="1" x14ac:dyDescent="0.2">
      <c r="B21" s="631"/>
      <c r="C21" s="16" t="s">
        <v>35</v>
      </c>
      <c r="D21" s="338" t="s">
        <v>59</v>
      </c>
      <c r="E21" s="639">
        <f>A2.5.3!E21/A2.5.3!E$29</f>
        <v>0.1770119614446638</v>
      </c>
      <c r="F21" s="640">
        <f>A2.5.3!F21/A2.5.3!F$29</f>
        <v>1.0664200932477471E-2</v>
      </c>
      <c r="G21" s="639">
        <f>A2.5.3!G21/A2.5.3!G$29</f>
        <v>0.17748267594129583</v>
      </c>
      <c r="H21" s="640">
        <f>A2.5.3!H21/A2.5.3!H$29</f>
        <v>2.2843566364637535E-2</v>
      </c>
      <c r="I21" s="639">
        <f>A2.5.3!I21/A2.5.3!I$29</f>
        <v>0.16228883122385215</v>
      </c>
      <c r="J21" s="640">
        <f>A2.5.3!J21/A2.5.3!J$29</f>
        <v>9.6445077987551159E-3</v>
      </c>
      <c r="K21" s="639">
        <f>A2.5.3!K21/A2.5.3!K$29</f>
        <v>9.0023288807987795E-2</v>
      </c>
      <c r="L21" s="640">
        <f>A2.5.3!L21/A2.5.3!L$29</f>
        <v>6.1751636364370498E-3</v>
      </c>
    </row>
    <row r="22" spans="2:12" customFormat="1" ht="13.35" customHeight="1" x14ac:dyDescent="0.2">
      <c r="B22" s="631"/>
      <c r="C22" s="16" t="s">
        <v>36</v>
      </c>
      <c r="D22" s="338" t="s">
        <v>60</v>
      </c>
      <c r="E22" s="639">
        <f>A2.5.3!E22/A2.5.3!E$29</f>
        <v>7.8794565091162463E-2</v>
      </c>
      <c r="F22" s="640">
        <f>A2.5.3!F22/A2.5.3!F$29</f>
        <v>9.9021535256980306E-3</v>
      </c>
      <c r="G22" s="639">
        <f>A2.5.3!G22/A2.5.3!G$29</f>
        <v>8.0573340710879252E-2</v>
      </c>
      <c r="H22" s="640">
        <f>A2.5.3!H22/A2.5.3!H$29</f>
        <v>1.5870785995813083E-2</v>
      </c>
      <c r="I22" s="639">
        <f>A2.5.3!I22/A2.5.3!I$29</f>
        <v>0.13387703225123126</v>
      </c>
      <c r="J22" s="640">
        <f>A2.5.3!J22/A2.5.3!J$29</f>
        <v>1.1467776138743661E-2</v>
      </c>
      <c r="K22" s="639">
        <f>A2.5.3!K22/A2.5.3!K$29</f>
        <v>6.3308081484059212E-2</v>
      </c>
      <c r="L22" s="640">
        <f>A2.5.3!L22/A2.5.3!L$29</f>
        <v>7.4970431032026835E-3</v>
      </c>
    </row>
    <row r="23" spans="2:12" customFormat="1" ht="13.35" customHeight="1" x14ac:dyDescent="0.2">
      <c r="B23" s="631"/>
      <c r="C23" s="16" t="s">
        <v>37</v>
      </c>
      <c r="D23" s="338" t="s">
        <v>61</v>
      </c>
      <c r="E23" s="639">
        <f>A2.5.3!E23/A2.5.3!E$29</f>
        <v>6.947509000116131E-2</v>
      </c>
      <c r="F23" s="640">
        <f>A2.5.3!F23/A2.5.3!F$29</f>
        <v>1.3375395123737491E-2</v>
      </c>
      <c r="G23" s="639">
        <f>A2.5.3!G23/A2.5.3!G$29</f>
        <v>4.5398255737359366E-2</v>
      </c>
      <c r="H23" s="640">
        <f>A2.5.3!H23/A2.5.3!H$29</f>
        <v>1.4795069174304039E-2</v>
      </c>
      <c r="I23" s="639">
        <f>A2.5.3!I23/A2.5.3!I$29</f>
        <v>6.9692315839644123E-2</v>
      </c>
      <c r="J23" s="640">
        <f>A2.5.3!J23/A2.5.3!J$29</f>
        <v>1.2951882101871528E-2</v>
      </c>
      <c r="K23" s="639">
        <f>A2.5.3!K23/A2.5.3!K$29</f>
        <v>5.3269802178975825E-2</v>
      </c>
      <c r="L23" s="640">
        <f>A2.5.3!L23/A2.5.3!L$29</f>
        <v>8.2225483563629319E-3</v>
      </c>
    </row>
    <row r="24" spans="2:12" customFormat="1" ht="13.35" customHeight="1" x14ac:dyDescent="0.2">
      <c r="B24" s="631"/>
      <c r="C24" s="16" t="s">
        <v>38</v>
      </c>
      <c r="D24" s="338" t="s">
        <v>62</v>
      </c>
      <c r="E24" s="639">
        <f>A2.5.3!E24/A2.5.3!E$29</f>
        <v>9.8536755312971777E-2</v>
      </c>
      <c r="F24" s="640">
        <f>A2.5.3!F24/A2.5.3!F$29</f>
        <v>3.7220513180591296E-2</v>
      </c>
      <c r="G24" s="639">
        <f>A2.5.3!G24/A2.5.3!G$29</f>
        <v>0.12022764998814323</v>
      </c>
      <c r="H24" s="640">
        <f>A2.5.3!H24/A2.5.3!H$29</f>
        <v>7.9578903290277225E-2</v>
      </c>
      <c r="I24" s="639">
        <f>A2.5.3!I24/A2.5.3!I$29</f>
        <v>0.12958745961976381</v>
      </c>
      <c r="J24" s="640">
        <f>A2.5.3!J24/A2.5.3!J$29</f>
        <v>4.7908591934468454E-2</v>
      </c>
      <c r="K24" s="639">
        <f>A2.5.3!K24/A2.5.3!K$29</f>
        <v>9.4520437936665147E-2</v>
      </c>
      <c r="L24" s="640">
        <f>A2.5.3!L24/A2.5.3!L$29</f>
        <v>2.9505023845514382E-2</v>
      </c>
    </row>
    <row r="25" spans="2:12" customFormat="1" ht="13.35" customHeight="1" x14ac:dyDescent="0.2">
      <c r="B25" s="631"/>
      <c r="C25" s="16" t="s">
        <v>39</v>
      </c>
      <c r="D25" s="338" t="s">
        <v>63</v>
      </c>
      <c r="E25" s="639">
        <f>A2.5.3!E25/A2.5.3!E$29</f>
        <v>6.4452444547671586E-2</v>
      </c>
      <c r="F25" s="640">
        <f>A2.5.3!F25/A2.5.3!F$29</f>
        <v>4.1968197590503138E-2</v>
      </c>
      <c r="G25" s="639">
        <f>A2.5.3!G25/A2.5.3!G$29</f>
        <v>7.1035227781730034E-2</v>
      </c>
      <c r="H25" s="640">
        <f>A2.5.3!H25/A2.5.3!H$29</f>
        <v>6.0579783431141163E-2</v>
      </c>
      <c r="I25" s="639">
        <f>A2.5.3!I25/A2.5.3!I$29</f>
        <v>7.4484986495789871E-2</v>
      </c>
      <c r="J25" s="640">
        <f>A2.5.3!J25/A2.5.3!J$29</f>
        <v>4.8087732609147366E-2</v>
      </c>
      <c r="K25" s="639">
        <f>A2.5.3!K25/A2.5.3!K$29</f>
        <v>7.1526086141820808E-2</v>
      </c>
      <c r="L25" s="640">
        <f>A2.5.3!L25/A2.5.3!L$29</f>
        <v>4.4964256620528054E-2</v>
      </c>
    </row>
    <row r="26" spans="2:12" customFormat="1" ht="13.35" customHeight="1" x14ac:dyDescent="0.2">
      <c r="B26" s="631"/>
      <c r="C26" s="16" t="s">
        <v>40</v>
      </c>
      <c r="D26" s="338" t="s">
        <v>64</v>
      </c>
      <c r="E26" s="639">
        <f>A2.5.3!E26/A2.5.3!E$29</f>
        <v>0.10768203460689815</v>
      </c>
      <c r="F26" s="640">
        <f>A2.5.3!F26/A2.5.3!F$29</f>
        <v>0.16210982902156773</v>
      </c>
      <c r="G26" s="639">
        <f>A2.5.3!G26/A2.5.3!G$29</f>
        <v>0.10721155112902801</v>
      </c>
      <c r="H26" s="640">
        <f>A2.5.3!H26/A2.5.3!H$29</f>
        <v>0.18289686674221287</v>
      </c>
      <c r="I26" s="639">
        <f>A2.5.3!I26/A2.5.3!I$29</f>
        <v>0.12392098713128211</v>
      </c>
      <c r="J26" s="640">
        <f>A2.5.3!J26/A2.5.3!J$29</f>
        <v>0.17376297617301703</v>
      </c>
      <c r="K26" s="639">
        <f>A2.5.3!K26/A2.5.3!K$29</f>
        <v>0.13114008084160933</v>
      </c>
      <c r="L26" s="640">
        <f>A2.5.3!L26/A2.5.3!L$29</f>
        <v>0.16819234423960244</v>
      </c>
    </row>
    <row r="27" spans="2:12" customFormat="1" ht="13.35" customHeight="1" x14ac:dyDescent="0.2">
      <c r="B27" s="631"/>
      <c r="C27" s="16" t="s">
        <v>41</v>
      </c>
      <c r="D27" s="338" t="s">
        <v>65</v>
      </c>
      <c r="E27" s="639">
        <f>A2.5.3!E27/A2.5.3!E$29</f>
        <v>5.4320055742654742E-2</v>
      </c>
      <c r="F27" s="640">
        <f>A2.5.3!F27/A2.5.3!F$29</f>
        <v>0.27351576463196337</v>
      </c>
      <c r="G27" s="639">
        <f>A2.5.3!G27/A2.5.3!G$29</f>
        <v>4.6346797354622826E-2</v>
      </c>
      <c r="H27" s="640">
        <f>A2.5.3!H27/A2.5.3!H$29</f>
        <v>0.25568154941229976</v>
      </c>
      <c r="I27" s="639">
        <f>A2.5.3!I27/A2.5.3!I$29</f>
        <v>5.6982471005666474E-2</v>
      </c>
      <c r="J27" s="640">
        <f>A2.5.3!J27/A2.5.3!J$29</f>
        <v>0.31389832077886209</v>
      </c>
      <c r="K27" s="639">
        <f>A2.5.3!K27/A2.5.3!K$29</f>
        <v>6.1568113071178092E-2</v>
      </c>
      <c r="L27" s="640">
        <f>A2.5.3!L27/A2.5.3!L$29</f>
        <v>0.28480296170533409</v>
      </c>
    </row>
    <row r="28" spans="2:12" customFormat="1" ht="13.35" customHeight="1" x14ac:dyDescent="0.2">
      <c r="B28" s="632"/>
      <c r="C28" s="280" t="s">
        <v>42</v>
      </c>
      <c r="D28" s="434" t="s">
        <v>66</v>
      </c>
      <c r="E28" s="641">
        <f>A2.5.3!E28/A2.5.3!E$29</f>
        <v>1.9103472302868425E-2</v>
      </c>
      <c r="F28" s="642">
        <f>A2.5.3!F28/A2.5.3!F$29</f>
        <v>0.4377105447735099</v>
      </c>
      <c r="G28" s="641">
        <f>A2.5.3!G28/A2.5.3!G$29</f>
        <v>1.3305931019945722E-2</v>
      </c>
      <c r="H28" s="642">
        <f>A2.5.3!H28/A2.5.3!H$29</f>
        <v>0.3359801169942766</v>
      </c>
      <c r="I28" s="641">
        <f>A2.5.3!I28/A2.5.3!I$29</f>
        <v>1.6655192501191549E-2</v>
      </c>
      <c r="J28" s="642">
        <f>A2.5.3!J28/A2.5.3!J$29</f>
        <v>0.37029720909948127</v>
      </c>
      <c r="K28" s="641">
        <f>A2.5.3!K28/A2.5.3!K$29</f>
        <v>1.9567952458709213E-2</v>
      </c>
      <c r="L28" s="642">
        <f>A2.5.3!L28/A2.5.3!L$29</f>
        <v>0.43864329329658336</v>
      </c>
    </row>
    <row r="29" spans="2:12" customFormat="1" ht="13.35" customHeight="1" x14ac:dyDescent="0.2">
      <c r="B29" s="632"/>
      <c r="C29" s="635" t="s">
        <v>8</v>
      </c>
      <c r="D29" s="636"/>
      <c r="E29" s="643">
        <f>A2.5.3!E29/A2.5.3!E$29</f>
        <v>1</v>
      </c>
      <c r="F29" s="644">
        <f>A2.5.3!F29/A2.5.3!F$29</f>
        <v>1</v>
      </c>
      <c r="G29" s="643">
        <f>A2.5.3!G29/A2.5.3!G$29</f>
        <v>1</v>
      </c>
      <c r="H29" s="644">
        <f>A2.5.3!H29/A2.5.3!H$29</f>
        <v>1</v>
      </c>
      <c r="I29" s="643">
        <f>A2.5.3!I29/A2.5.3!I$29</f>
        <v>1</v>
      </c>
      <c r="J29" s="644">
        <f>A2.5.3!J29/A2.5.3!J$29</f>
        <v>1</v>
      </c>
      <c r="K29" s="643">
        <f>A2.5.3!K29/A2.5.3!K$29</f>
        <v>1</v>
      </c>
      <c r="L29" s="644">
        <f>A2.5.3!L29/A2.5.3!L$29</f>
        <v>1</v>
      </c>
    </row>
    <row r="30" spans="2:12" s="1" customFormat="1" ht="13.35" customHeight="1" x14ac:dyDescent="0.2"/>
    <row r="31" spans="2:12" s="1" customFormat="1" ht="13.35" customHeight="1" x14ac:dyDescent="0.2"/>
    <row r="32" spans="2:12" x14ac:dyDescent="0.2">
      <c r="G32" s="352" t="s">
        <v>371</v>
      </c>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7" tint="0.79998168889431442"/>
    <pageSetUpPr fitToPage="1"/>
  </sheetPr>
  <dimension ref="B1:L35"/>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2:12" s="8" customFormat="1" ht="15" customHeight="1" x14ac:dyDescent="0.2">
      <c r="B1" s="474" t="s">
        <v>555</v>
      </c>
      <c r="C1" s="320"/>
      <c r="D1" s="320"/>
      <c r="E1" s="320"/>
      <c r="F1" s="320"/>
      <c r="G1" s="320"/>
      <c r="H1" s="320"/>
      <c r="I1" s="320"/>
      <c r="J1" s="320"/>
      <c r="K1" s="320"/>
      <c r="L1" s="320"/>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42" t="s">
        <v>90</v>
      </c>
      <c r="D3" s="1043"/>
      <c r="E3" s="623" t="s">
        <v>17</v>
      </c>
      <c r="F3" s="624" t="s">
        <v>103</v>
      </c>
      <c r="G3" s="623" t="s">
        <v>17</v>
      </c>
      <c r="H3" s="624" t="s">
        <v>103</v>
      </c>
      <c r="I3" s="623" t="s">
        <v>17</v>
      </c>
      <c r="J3" s="624" t="s">
        <v>103</v>
      </c>
      <c r="K3" s="623" t="s">
        <v>17</v>
      </c>
      <c r="L3" s="624" t="s">
        <v>103</v>
      </c>
    </row>
    <row r="4" spans="2:12" ht="13.35" customHeight="1" x14ac:dyDescent="0.2">
      <c r="B4" s="145"/>
      <c r="C4" s="16" t="s">
        <v>18</v>
      </c>
      <c r="D4" s="338" t="s">
        <v>43</v>
      </c>
      <c r="E4" s="654">
        <v>2218</v>
      </c>
      <c r="F4" s="655">
        <v>26.549458999999999</v>
      </c>
      <c r="G4" s="654">
        <v>2157</v>
      </c>
      <c r="H4" s="655">
        <v>23.378038999999998</v>
      </c>
      <c r="I4" s="654">
        <v>1914</v>
      </c>
      <c r="J4" s="655">
        <v>26.518287000000001</v>
      </c>
      <c r="K4" s="654">
        <v>1803</v>
      </c>
      <c r="L4" s="655">
        <v>24.087468999999999</v>
      </c>
    </row>
    <row r="5" spans="2:12" ht="13.35" customHeight="1" x14ac:dyDescent="0.2">
      <c r="B5" s="145"/>
      <c r="C5" s="16" t="s">
        <v>19</v>
      </c>
      <c r="D5" s="339" t="s">
        <v>129</v>
      </c>
      <c r="E5" s="654">
        <v>58</v>
      </c>
      <c r="F5" s="655">
        <v>0.89816799999999997</v>
      </c>
      <c r="G5" s="654">
        <v>76</v>
      </c>
      <c r="H5" s="655">
        <v>1.663419</v>
      </c>
      <c r="I5" s="654">
        <v>68</v>
      </c>
      <c r="J5" s="655">
        <v>1.1925049999999999</v>
      </c>
      <c r="K5" s="654">
        <v>83</v>
      </c>
      <c r="L5" s="655">
        <v>1.2954220000000001</v>
      </c>
    </row>
    <row r="6" spans="2:12" ht="13.35" customHeight="1" x14ac:dyDescent="0.2">
      <c r="B6" s="145"/>
      <c r="C6" s="16" t="s">
        <v>20</v>
      </c>
      <c r="D6" s="338" t="s">
        <v>44</v>
      </c>
      <c r="E6" s="654">
        <v>15158</v>
      </c>
      <c r="F6" s="655">
        <v>37.361806000000001</v>
      </c>
      <c r="G6" s="654">
        <v>19634</v>
      </c>
      <c r="H6" s="655">
        <v>46.202956999999998</v>
      </c>
      <c r="I6" s="654">
        <v>21286</v>
      </c>
      <c r="J6" s="655">
        <v>54.974829</v>
      </c>
      <c r="K6" s="654">
        <v>18479</v>
      </c>
      <c r="L6" s="655">
        <v>51.087560000000003</v>
      </c>
    </row>
    <row r="7" spans="2:12" ht="13.35" customHeight="1" x14ac:dyDescent="0.2">
      <c r="B7" s="145"/>
      <c r="C7" s="16" t="s">
        <v>21</v>
      </c>
      <c r="D7" s="338" t="s">
        <v>45</v>
      </c>
      <c r="E7" s="654">
        <v>12941</v>
      </c>
      <c r="F7" s="655">
        <v>44.258944999999997</v>
      </c>
      <c r="G7" s="654">
        <v>16072</v>
      </c>
      <c r="H7" s="655">
        <v>57.240135000000002</v>
      </c>
      <c r="I7" s="654">
        <v>17966</v>
      </c>
      <c r="J7" s="655">
        <v>57.590558000000009</v>
      </c>
      <c r="K7" s="654">
        <v>16540</v>
      </c>
      <c r="L7" s="655">
        <v>61.939394</v>
      </c>
    </row>
    <row r="8" spans="2:12" ht="13.35" customHeight="1" x14ac:dyDescent="0.2">
      <c r="B8" s="145"/>
      <c r="C8" s="16" t="s">
        <v>22</v>
      </c>
      <c r="D8" s="338" t="s">
        <v>46</v>
      </c>
      <c r="E8" s="654">
        <v>16988</v>
      </c>
      <c r="F8" s="655">
        <v>65.996145999999996</v>
      </c>
      <c r="G8" s="654">
        <v>20299</v>
      </c>
      <c r="H8" s="655">
        <v>77.628265999999996</v>
      </c>
      <c r="I8" s="654">
        <v>23181</v>
      </c>
      <c r="J8" s="655">
        <v>96.418051999999989</v>
      </c>
      <c r="K8" s="654">
        <v>23401</v>
      </c>
      <c r="L8" s="655">
        <v>109.73527899999999</v>
      </c>
    </row>
    <row r="9" spans="2:12" ht="13.35" customHeight="1" x14ac:dyDescent="0.2">
      <c r="B9" s="145"/>
      <c r="C9" s="16" t="s">
        <v>23</v>
      </c>
      <c r="D9" s="338" t="s">
        <v>47</v>
      </c>
      <c r="E9" s="654">
        <v>26979</v>
      </c>
      <c r="F9" s="655">
        <v>126.795953</v>
      </c>
      <c r="G9" s="654">
        <v>24953</v>
      </c>
      <c r="H9" s="655">
        <v>109.740285</v>
      </c>
      <c r="I9" s="654">
        <v>27492</v>
      </c>
      <c r="J9" s="655">
        <v>119.40039700000001</v>
      </c>
      <c r="K9" s="654">
        <v>28290</v>
      </c>
      <c r="L9" s="655">
        <v>140.86328500000002</v>
      </c>
    </row>
    <row r="10" spans="2:12" s="50" customFormat="1" ht="13.35" customHeight="1" x14ac:dyDescent="0.2">
      <c r="B10" s="145"/>
      <c r="C10" s="16" t="s">
        <v>24</v>
      </c>
      <c r="D10" s="338" t="s">
        <v>48</v>
      </c>
      <c r="E10" s="654">
        <v>54986</v>
      </c>
      <c r="F10" s="655">
        <v>298.38014900000002</v>
      </c>
      <c r="G10" s="654">
        <v>48743</v>
      </c>
      <c r="H10" s="655">
        <v>253.61646099999999</v>
      </c>
      <c r="I10" s="654">
        <v>41559</v>
      </c>
      <c r="J10" s="655">
        <v>218.91533799999999</v>
      </c>
      <c r="K10" s="654">
        <v>33162</v>
      </c>
      <c r="L10" s="655">
        <v>190.78506400000001</v>
      </c>
    </row>
    <row r="11" spans="2:12" s="1" customFormat="1" ht="13.35" customHeight="1" x14ac:dyDescent="0.2">
      <c r="B11" s="631"/>
      <c r="C11" s="16" t="s">
        <v>25</v>
      </c>
      <c r="D11" s="338" t="s">
        <v>49</v>
      </c>
      <c r="E11" s="654">
        <v>72325</v>
      </c>
      <c r="F11" s="655">
        <v>456.14206700000005</v>
      </c>
      <c r="G11" s="654">
        <v>93138</v>
      </c>
      <c r="H11" s="655">
        <v>579.99889599999995</v>
      </c>
      <c r="I11" s="654">
        <v>74593</v>
      </c>
      <c r="J11" s="655">
        <v>486.57230999999996</v>
      </c>
      <c r="K11" s="654">
        <v>53224</v>
      </c>
      <c r="L11" s="655">
        <v>374.48643400000003</v>
      </c>
    </row>
    <row r="12" spans="2:12" s="1" customFormat="1" ht="13.35" customHeight="1" x14ac:dyDescent="0.2">
      <c r="B12" s="631"/>
      <c r="C12" s="16" t="s">
        <v>26</v>
      </c>
      <c r="D12" s="338" t="s">
        <v>50</v>
      </c>
      <c r="E12" s="654">
        <v>69058</v>
      </c>
      <c r="F12" s="655">
        <v>479.65110199999998</v>
      </c>
      <c r="G12" s="654">
        <v>89308</v>
      </c>
      <c r="H12" s="655">
        <v>621.08439600000008</v>
      </c>
      <c r="I12" s="654">
        <v>111279</v>
      </c>
      <c r="J12" s="655">
        <v>858.31856900000014</v>
      </c>
      <c r="K12" s="654">
        <v>82544</v>
      </c>
      <c r="L12" s="655">
        <v>700.05213900000001</v>
      </c>
    </row>
    <row r="13" spans="2:12" s="1" customFormat="1" ht="13.35" customHeight="1" x14ac:dyDescent="0.2">
      <c r="B13" s="631"/>
      <c r="C13" s="16" t="s">
        <v>27</v>
      </c>
      <c r="D13" s="338" t="s">
        <v>51</v>
      </c>
      <c r="E13" s="654">
        <v>71298</v>
      </c>
      <c r="F13" s="655">
        <v>559.705738</v>
      </c>
      <c r="G13" s="654">
        <v>81125</v>
      </c>
      <c r="H13" s="655">
        <v>669.02755200000001</v>
      </c>
      <c r="I13" s="654">
        <v>94025</v>
      </c>
      <c r="J13" s="655">
        <v>851.12640099999999</v>
      </c>
      <c r="K13" s="654">
        <v>104095</v>
      </c>
      <c r="L13" s="655">
        <v>942.14144600000009</v>
      </c>
    </row>
    <row r="14" spans="2:12" s="1" customFormat="1" ht="13.35" customHeight="1" x14ac:dyDescent="0.2">
      <c r="B14" s="631"/>
      <c r="C14" s="16" t="s">
        <v>28</v>
      </c>
      <c r="D14" s="338" t="s">
        <v>52</v>
      </c>
      <c r="E14" s="654">
        <v>77737</v>
      </c>
      <c r="F14" s="655">
        <v>661.29710999999998</v>
      </c>
      <c r="G14" s="654">
        <v>82351</v>
      </c>
      <c r="H14" s="655">
        <v>701.69171699999993</v>
      </c>
      <c r="I14" s="654">
        <v>80278</v>
      </c>
      <c r="J14" s="655">
        <v>777.90339900000004</v>
      </c>
      <c r="K14" s="654">
        <v>91581</v>
      </c>
      <c r="L14" s="655">
        <v>962.26272799999992</v>
      </c>
    </row>
    <row r="15" spans="2:12" customFormat="1" ht="13.35" customHeight="1" x14ac:dyDescent="0.2">
      <c r="B15" s="631"/>
      <c r="C15" s="16" t="s">
        <v>29</v>
      </c>
      <c r="D15" s="338" t="s">
        <v>53</v>
      </c>
      <c r="E15" s="654">
        <v>96935</v>
      </c>
      <c r="F15" s="655">
        <v>878.71803399999999</v>
      </c>
      <c r="G15" s="654">
        <v>83215</v>
      </c>
      <c r="H15" s="655">
        <v>774.15512100000001</v>
      </c>
      <c r="I15" s="654">
        <v>82959</v>
      </c>
      <c r="J15" s="655">
        <v>833.50687899999991</v>
      </c>
      <c r="K15" s="654">
        <v>77725</v>
      </c>
      <c r="L15" s="655">
        <v>840.64061499999991</v>
      </c>
    </row>
    <row r="16" spans="2:12" customFormat="1" ht="13.35" customHeight="1" x14ac:dyDescent="0.2">
      <c r="B16" s="631"/>
      <c r="C16" s="16" t="s">
        <v>30</v>
      </c>
      <c r="D16" s="338" t="s">
        <v>54</v>
      </c>
      <c r="E16" s="654">
        <v>83884</v>
      </c>
      <c r="F16" s="655">
        <v>804.0601089999999</v>
      </c>
      <c r="G16" s="654">
        <v>97220</v>
      </c>
      <c r="H16" s="655">
        <v>990.79327100000012</v>
      </c>
      <c r="I16" s="654">
        <v>82126</v>
      </c>
      <c r="J16" s="655">
        <v>885.54914799999995</v>
      </c>
      <c r="K16" s="654">
        <v>79332</v>
      </c>
      <c r="L16" s="655">
        <v>900.87940999999989</v>
      </c>
    </row>
    <row r="17" spans="2:12" customFormat="1" ht="13.35" customHeight="1" x14ac:dyDescent="0.2">
      <c r="B17" s="631"/>
      <c r="C17" s="16" t="s">
        <v>31</v>
      </c>
      <c r="D17" s="338" t="s">
        <v>55</v>
      </c>
      <c r="E17" s="654">
        <v>98557</v>
      </c>
      <c r="F17" s="655">
        <v>918.98353299999997</v>
      </c>
      <c r="G17" s="654">
        <v>85081</v>
      </c>
      <c r="H17" s="655">
        <v>945.11133300000006</v>
      </c>
      <c r="I17" s="654">
        <v>95144</v>
      </c>
      <c r="J17" s="655">
        <v>1109.808186</v>
      </c>
      <c r="K17" s="654">
        <v>79268</v>
      </c>
      <c r="L17" s="655">
        <v>977.16166400000009</v>
      </c>
    </row>
    <row r="18" spans="2:12" customFormat="1" ht="13.35" customHeight="1" x14ac:dyDescent="0.2">
      <c r="B18" s="631"/>
      <c r="C18" s="16" t="s">
        <v>32</v>
      </c>
      <c r="D18" s="338" t="s">
        <v>56</v>
      </c>
      <c r="E18" s="654">
        <v>117118</v>
      </c>
      <c r="F18" s="655">
        <v>1105.718382</v>
      </c>
      <c r="G18" s="654">
        <v>78510</v>
      </c>
      <c r="H18" s="655">
        <v>912.20672599999989</v>
      </c>
      <c r="I18" s="654">
        <v>84478</v>
      </c>
      <c r="J18" s="655">
        <v>1023.235346</v>
      </c>
      <c r="K18" s="654">
        <v>100303</v>
      </c>
      <c r="L18" s="655">
        <v>1360.9472020000001</v>
      </c>
    </row>
    <row r="19" spans="2:12" customFormat="1" ht="13.35" customHeight="1" x14ac:dyDescent="0.2">
      <c r="B19" s="631"/>
      <c r="C19" s="16" t="s">
        <v>33</v>
      </c>
      <c r="D19" s="338" t="s">
        <v>57</v>
      </c>
      <c r="E19" s="654">
        <v>89285</v>
      </c>
      <c r="F19" s="655">
        <v>1008.758525</v>
      </c>
      <c r="G19" s="654">
        <v>89676</v>
      </c>
      <c r="H19" s="655">
        <v>1002.680147</v>
      </c>
      <c r="I19" s="654">
        <v>80387</v>
      </c>
      <c r="J19" s="655">
        <v>986.12468999999999</v>
      </c>
      <c r="K19" s="654">
        <v>81712</v>
      </c>
      <c r="L19" s="655">
        <v>1111.5549309999999</v>
      </c>
    </row>
    <row r="20" spans="2:12" customFormat="1" ht="13.35" customHeight="1" x14ac:dyDescent="0.2">
      <c r="B20" s="631"/>
      <c r="C20" s="16" t="s">
        <v>34</v>
      </c>
      <c r="D20" s="338" t="s">
        <v>58</v>
      </c>
      <c r="E20" s="654">
        <v>337688</v>
      </c>
      <c r="F20" s="655">
        <v>4134.9900660000003</v>
      </c>
      <c r="G20" s="654">
        <v>395765</v>
      </c>
      <c r="H20" s="655">
        <v>5196.6564569999991</v>
      </c>
      <c r="I20" s="654">
        <v>418366</v>
      </c>
      <c r="J20" s="655">
        <v>5882.1092139999992</v>
      </c>
      <c r="K20" s="654">
        <v>388081</v>
      </c>
      <c r="L20" s="655">
        <v>5704.4590010000011</v>
      </c>
    </row>
    <row r="21" spans="2:12" customFormat="1" ht="13.35" customHeight="1" x14ac:dyDescent="0.2">
      <c r="B21" s="631"/>
      <c r="C21" s="16" t="s">
        <v>35</v>
      </c>
      <c r="D21" s="338" t="s">
        <v>59</v>
      </c>
      <c r="E21" s="654">
        <v>271619</v>
      </c>
      <c r="F21" s="655">
        <v>4513.0907289999996</v>
      </c>
      <c r="G21" s="654">
        <v>306830</v>
      </c>
      <c r="H21" s="655">
        <v>5574.0572980000006</v>
      </c>
      <c r="I21" s="654">
        <v>376420</v>
      </c>
      <c r="J21" s="655">
        <v>6851.0210180000004</v>
      </c>
      <c r="K21" s="654">
        <v>433529</v>
      </c>
      <c r="L21" s="655">
        <v>8162.1746460000004</v>
      </c>
    </row>
    <row r="22" spans="2:12" customFormat="1" ht="13.35" customHeight="1" x14ac:dyDescent="0.2">
      <c r="B22" s="631"/>
      <c r="C22" s="16" t="s">
        <v>36</v>
      </c>
      <c r="D22" s="338" t="s">
        <v>60</v>
      </c>
      <c r="E22" s="654">
        <v>117296</v>
      </c>
      <c r="F22" s="655">
        <v>3080.3874449999998</v>
      </c>
      <c r="G22" s="654">
        <v>122495</v>
      </c>
      <c r="H22" s="655">
        <v>3762.9480649999996</v>
      </c>
      <c r="I22" s="654">
        <v>149857</v>
      </c>
      <c r="J22" s="655">
        <v>4515.9292600000008</v>
      </c>
      <c r="K22" s="654">
        <v>164491</v>
      </c>
      <c r="L22" s="655">
        <v>4709.229797</v>
      </c>
    </row>
    <row r="23" spans="2:12" customFormat="1" ht="13.35" customHeight="1" x14ac:dyDescent="0.2">
      <c r="B23" s="631"/>
      <c r="C23" s="16" t="s">
        <v>37</v>
      </c>
      <c r="D23" s="338" t="s">
        <v>61</v>
      </c>
      <c r="E23" s="654">
        <v>59484</v>
      </c>
      <c r="F23" s="655">
        <v>2042.5373929999998</v>
      </c>
      <c r="G23" s="654">
        <v>54650</v>
      </c>
      <c r="H23" s="655">
        <v>2309.5443369999994</v>
      </c>
      <c r="I23" s="654">
        <v>69498</v>
      </c>
      <c r="J23" s="655">
        <v>2923.0866569999994</v>
      </c>
      <c r="K23" s="654">
        <v>83981</v>
      </c>
      <c r="L23" s="655">
        <v>3525.1794400000003</v>
      </c>
    </row>
    <row r="24" spans="2:12" customFormat="1" ht="13.35" customHeight="1" x14ac:dyDescent="0.2">
      <c r="B24" s="631"/>
      <c r="C24" s="16" t="s">
        <v>38</v>
      </c>
      <c r="D24" s="338" t="s">
        <v>62</v>
      </c>
      <c r="E24" s="654">
        <v>54362</v>
      </c>
      <c r="F24" s="655">
        <v>2043.1726809999996</v>
      </c>
      <c r="G24" s="654">
        <v>55676</v>
      </c>
      <c r="H24" s="655">
        <v>3020.4244070000004</v>
      </c>
      <c r="I24" s="654">
        <v>70596</v>
      </c>
      <c r="J24" s="655">
        <v>4008.500164</v>
      </c>
      <c r="K24" s="654">
        <v>82354</v>
      </c>
      <c r="L24" s="655">
        <v>4837.420387000001</v>
      </c>
    </row>
    <row r="25" spans="2:12" customFormat="1" ht="13.35" customHeight="1" x14ac:dyDescent="0.2">
      <c r="B25" s="631"/>
      <c r="C25" s="16" t="s">
        <v>39</v>
      </c>
      <c r="D25" s="338" t="s">
        <v>63</v>
      </c>
      <c r="E25" s="654">
        <v>15655</v>
      </c>
      <c r="F25" s="655">
        <v>607.84846799999991</v>
      </c>
      <c r="G25" s="654">
        <v>14476</v>
      </c>
      <c r="H25" s="655">
        <v>878.19600200000002</v>
      </c>
      <c r="I25" s="654">
        <v>19205</v>
      </c>
      <c r="J25" s="655">
        <v>1259.4600270000001</v>
      </c>
      <c r="K25" s="654">
        <v>24876</v>
      </c>
      <c r="L25" s="655">
        <v>1661.4575330000002</v>
      </c>
    </row>
    <row r="26" spans="2:12" customFormat="1" ht="13.35" customHeight="1" x14ac:dyDescent="0.2">
      <c r="B26" s="631"/>
      <c r="C26" s="16" t="s">
        <v>40</v>
      </c>
      <c r="D26" s="338" t="s">
        <v>64</v>
      </c>
      <c r="E26" s="654">
        <v>13737</v>
      </c>
      <c r="F26" s="655">
        <v>730.46317599999986</v>
      </c>
      <c r="G26" s="654">
        <v>11106</v>
      </c>
      <c r="H26" s="655">
        <v>991.10868900000014</v>
      </c>
      <c r="I26" s="654">
        <v>14827</v>
      </c>
      <c r="J26" s="655">
        <v>1284.209728</v>
      </c>
      <c r="K26" s="654">
        <v>17630</v>
      </c>
      <c r="L26" s="655">
        <v>1554.032966</v>
      </c>
    </row>
    <row r="27" spans="2:12" customFormat="1" ht="13.35" customHeight="1" x14ac:dyDescent="0.2">
      <c r="B27" s="631"/>
      <c r="C27" s="16" t="s">
        <v>41</v>
      </c>
      <c r="D27" s="338" t="s">
        <v>65</v>
      </c>
      <c r="E27" s="654">
        <v>3220</v>
      </c>
      <c r="F27" s="655">
        <v>348.31492700000001</v>
      </c>
      <c r="G27" s="654">
        <v>2596</v>
      </c>
      <c r="H27" s="655">
        <v>445.91152599999998</v>
      </c>
      <c r="I27" s="654">
        <v>3215</v>
      </c>
      <c r="J27" s="655">
        <v>477.14467999999999</v>
      </c>
      <c r="K27" s="654">
        <v>3682</v>
      </c>
      <c r="L27" s="655">
        <v>586.982574</v>
      </c>
    </row>
    <row r="28" spans="2:12" customFormat="1" ht="13.35" customHeight="1" x14ac:dyDescent="0.2">
      <c r="B28" s="632"/>
      <c r="C28" s="280" t="s">
        <v>42</v>
      </c>
      <c r="D28" s="434" t="s">
        <v>66</v>
      </c>
      <c r="E28" s="656">
        <v>470</v>
      </c>
      <c r="F28" s="657">
        <v>110.96559499999999</v>
      </c>
      <c r="G28" s="656">
        <v>355</v>
      </c>
      <c r="H28" s="657">
        <v>93.246116999999998</v>
      </c>
      <c r="I28" s="656">
        <v>453</v>
      </c>
      <c r="J28" s="657">
        <v>106.858862</v>
      </c>
      <c r="K28" s="656">
        <v>523</v>
      </c>
      <c r="L28" s="657">
        <v>118.341651</v>
      </c>
    </row>
    <row r="29" spans="2:12" customFormat="1" ht="13.35" customHeight="1" x14ac:dyDescent="0.2">
      <c r="B29" s="632"/>
      <c r="C29" s="635" t="s">
        <v>8</v>
      </c>
      <c r="D29" s="636"/>
      <c r="E29" s="658">
        <f t="shared" ref="E29:L29" si="0">SUM(E4:E28)</f>
        <v>1779056</v>
      </c>
      <c r="F29" s="659">
        <f t="shared" si="0"/>
        <v>25085.045706000001</v>
      </c>
      <c r="G29" s="658">
        <f t="shared" si="0"/>
        <v>1875507</v>
      </c>
      <c r="H29" s="659">
        <f t="shared" si="0"/>
        <v>30038.311618999996</v>
      </c>
      <c r="I29" s="658">
        <f t="shared" si="0"/>
        <v>2041172</v>
      </c>
      <c r="J29" s="659">
        <f t="shared" si="0"/>
        <v>35695.474503999998</v>
      </c>
      <c r="K29" s="658">
        <f t="shared" si="0"/>
        <v>2070689</v>
      </c>
      <c r="L29" s="659">
        <f t="shared" si="0"/>
        <v>39609.198037000002</v>
      </c>
    </row>
    <row r="30" spans="2:12" s="1" customFormat="1" ht="12" customHeight="1" x14ac:dyDescent="0.2">
      <c r="B30" s="645"/>
      <c r="C30" s="645" t="s">
        <v>569</v>
      </c>
    </row>
    <row r="31" spans="2:12" s="1" customFormat="1" ht="13.35" customHeight="1" x14ac:dyDescent="0.2"/>
    <row r="32" spans="2:12" customFormat="1" ht="13.35" customHeight="1" x14ac:dyDescent="0.2">
      <c r="G32" s="352" t="s">
        <v>371</v>
      </c>
      <c r="I32" s="1"/>
    </row>
    <row r="33" spans="4:12" customFormat="1" ht="13.35" customHeight="1" x14ac:dyDescent="0.2">
      <c r="I33" s="1"/>
    </row>
    <row r="34" spans="4:12" customFormat="1" ht="13.35" hidden="1" customHeight="1" x14ac:dyDescent="0.2">
      <c r="D34" s="106" t="s">
        <v>230</v>
      </c>
      <c r="E34" s="84">
        <f>A2.5.1!E17-E29</f>
        <v>0</v>
      </c>
      <c r="F34" s="84">
        <f>A2.5.1!F17-F29</f>
        <v>0</v>
      </c>
      <c r="G34" s="84">
        <f>A2.5.1!G17-G29</f>
        <v>0</v>
      </c>
      <c r="H34" s="84">
        <f>A2.5.1!H17-H29</f>
        <v>0</v>
      </c>
      <c r="I34" s="84">
        <f>A2.5.1!I17-I29</f>
        <v>0</v>
      </c>
      <c r="J34" s="84">
        <f>A2.5.1!J17-J29</f>
        <v>0</v>
      </c>
      <c r="K34" s="84">
        <f>A2.5.1!K17-K29</f>
        <v>0</v>
      </c>
      <c r="L34" s="107">
        <f>A2.5.1!L17-L29</f>
        <v>0</v>
      </c>
    </row>
    <row r="35" spans="4:12" customFormat="1" ht="13.35" customHeight="1" x14ac:dyDescent="0.2">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tabColor theme="7" tint="0.79998168889431442"/>
    <pageSetUpPr fitToPage="1"/>
  </sheetPr>
  <dimension ref="B1:L32"/>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2:12" s="8" customFormat="1" ht="15" customHeight="1" x14ac:dyDescent="0.2">
      <c r="B1" s="439" t="s">
        <v>556</v>
      </c>
      <c r="C1" s="311"/>
      <c r="D1" s="311"/>
      <c r="E1" s="311"/>
      <c r="F1" s="311"/>
      <c r="G1" s="311"/>
      <c r="H1" s="311"/>
      <c r="I1" s="311"/>
      <c r="J1" s="311"/>
      <c r="K1" s="311"/>
      <c r="L1" s="311"/>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194</v>
      </c>
      <c r="D3" s="1030"/>
      <c r="E3" s="623" t="s">
        <v>17</v>
      </c>
      <c r="F3" s="624" t="s">
        <v>85</v>
      </c>
      <c r="G3" s="623" t="s">
        <v>17</v>
      </c>
      <c r="H3" s="624" t="s">
        <v>85</v>
      </c>
      <c r="I3" s="623" t="s">
        <v>17</v>
      </c>
      <c r="J3" s="624" t="s">
        <v>85</v>
      </c>
      <c r="K3" s="623" t="s">
        <v>17</v>
      </c>
      <c r="L3" s="624" t="s">
        <v>85</v>
      </c>
    </row>
    <row r="4" spans="2:12" ht="13.35" customHeight="1" x14ac:dyDescent="0.2">
      <c r="B4" s="145"/>
      <c r="C4" s="16" t="s">
        <v>18</v>
      </c>
      <c r="D4" s="338" t="s">
        <v>43</v>
      </c>
      <c r="E4" s="639">
        <f>A2.5.4!E4/A2.5.4!E$29</f>
        <v>1.2467286021350648E-3</v>
      </c>
      <c r="F4" s="640">
        <f>A2.5.4!F4/A2.5.4!F$29</f>
        <v>1.0583779400349959E-3</v>
      </c>
      <c r="G4" s="639">
        <f>A2.5.4!G4/A2.5.4!G$29</f>
        <v>1.1500890159300925E-3</v>
      </c>
      <c r="H4" s="640">
        <f>A2.5.4!H4/A2.5.4!H$29</f>
        <v>7.7827406868010492E-4</v>
      </c>
      <c r="I4" s="639">
        <f>A2.5.4!I4/A2.5.4!I$29</f>
        <v>9.3769657824034429E-4</v>
      </c>
      <c r="J4" s="640">
        <f>A2.5.4!J4/A2.5.4!J$29</f>
        <v>7.4290333350319766E-4</v>
      </c>
      <c r="K4" s="639">
        <f>A2.5.4!K4/A2.5.4!K$29</f>
        <v>8.7072467183628248E-4</v>
      </c>
      <c r="L4" s="640">
        <f>A2.5.4!L4/A2.5.4!L$29</f>
        <v>6.0812816703582982E-4</v>
      </c>
    </row>
    <row r="5" spans="2:12" ht="13.35" customHeight="1" x14ac:dyDescent="0.2">
      <c r="B5" s="145"/>
      <c r="C5" s="16" t="s">
        <v>19</v>
      </c>
      <c r="D5" s="339" t="s">
        <v>129</v>
      </c>
      <c r="E5" s="639">
        <f>A2.5.4!E5/A2.5.4!E$29</f>
        <v>3.2601559478734793E-5</v>
      </c>
      <c r="F5" s="640">
        <f>A2.5.4!F5/A2.5.4!F$29</f>
        <v>3.5804917819430976E-5</v>
      </c>
      <c r="G5" s="639">
        <f>A2.5.4!G5/A2.5.4!G$29</f>
        <v>4.0522376082840532E-5</v>
      </c>
      <c r="H5" s="640">
        <f>A2.5.4!H5/A2.5.4!H$29</f>
        <v>5.5376581117423563E-5</v>
      </c>
      <c r="I5" s="639">
        <f>A2.5.4!I5/A2.5.4!I$29</f>
        <v>3.3314194002269287E-5</v>
      </c>
      <c r="J5" s="640">
        <f>A2.5.4!J5/A2.5.4!J$29</f>
        <v>3.3407736318685691E-5</v>
      </c>
      <c r="K5" s="639">
        <f>A2.5.4!K5/A2.5.4!K$29</f>
        <v>4.0083276629179946E-5</v>
      </c>
      <c r="L5" s="640">
        <f>A2.5.4!L5/A2.5.4!L$29</f>
        <v>3.2705080238936222E-5</v>
      </c>
    </row>
    <row r="6" spans="2:12" ht="13.35" customHeight="1" x14ac:dyDescent="0.2">
      <c r="B6" s="145"/>
      <c r="C6" s="16" t="s">
        <v>20</v>
      </c>
      <c r="D6" s="338" t="s">
        <v>44</v>
      </c>
      <c r="E6" s="639">
        <f>A2.5.4!E6/A2.5.4!E$29</f>
        <v>8.5202489410114123E-3</v>
      </c>
      <c r="F6" s="640">
        <f>A2.5.4!F6/A2.5.4!F$29</f>
        <v>1.4894055381794089E-3</v>
      </c>
      <c r="G6" s="639">
        <f>A2.5.4!G6/A2.5.4!G$29</f>
        <v>1.0468635947506461E-2</v>
      </c>
      <c r="H6" s="640">
        <f>A2.5.4!H6/A2.5.4!H$29</f>
        <v>1.5381342861752407E-3</v>
      </c>
      <c r="I6" s="639">
        <f>A2.5.4!I6/A2.5.4!I$29</f>
        <v>1.0428322551945647E-2</v>
      </c>
      <c r="J6" s="640">
        <f>A2.5.4!J6/A2.5.4!J$29</f>
        <v>1.5401064074337932E-3</v>
      </c>
      <c r="K6" s="639">
        <f>A2.5.4!K6/A2.5.4!K$29</f>
        <v>8.9240827569953777E-3</v>
      </c>
      <c r="L6" s="640">
        <f>A2.5.4!L6/A2.5.4!L$29</f>
        <v>1.2897903146707934E-3</v>
      </c>
    </row>
    <row r="7" spans="2:12" ht="13.35" customHeight="1" x14ac:dyDescent="0.2">
      <c r="B7" s="145"/>
      <c r="C7" s="16" t="s">
        <v>21</v>
      </c>
      <c r="D7" s="338" t="s">
        <v>45</v>
      </c>
      <c r="E7" s="639">
        <f>A2.5.4!E7/A2.5.4!E$29</f>
        <v>7.2740824347294298E-3</v>
      </c>
      <c r="F7" s="640">
        <f>A2.5.4!F7/A2.5.4!F$29</f>
        <v>1.7643557647341204E-3</v>
      </c>
      <c r="G7" s="639">
        <f>A2.5.4!G7/A2.5.4!G$29</f>
        <v>8.5694161632028035E-3</v>
      </c>
      <c r="H7" s="640">
        <f>A2.5.4!H7/A2.5.4!H$29</f>
        <v>1.9055709830173731E-3</v>
      </c>
      <c r="I7" s="639">
        <f>A2.5.4!I7/A2.5.4!I$29</f>
        <v>8.8018060212466179E-3</v>
      </c>
      <c r="J7" s="640">
        <f>A2.5.4!J7/A2.5.4!J$29</f>
        <v>1.6133854165055704E-3</v>
      </c>
      <c r="K7" s="639">
        <f>A2.5.4!K7/A2.5.4!K$29</f>
        <v>7.9876794632124867E-3</v>
      </c>
      <c r="L7" s="640">
        <f>A2.5.4!L7/A2.5.4!L$29</f>
        <v>1.5637628901787098E-3</v>
      </c>
    </row>
    <row r="8" spans="2:12" ht="13.35" customHeight="1" x14ac:dyDescent="0.2">
      <c r="B8" s="145"/>
      <c r="C8" s="16" t="s">
        <v>22</v>
      </c>
      <c r="D8" s="338" t="s">
        <v>46</v>
      </c>
      <c r="E8" s="639">
        <f>A2.5.4!E8/A2.5.4!E$29</f>
        <v>9.5488843521508038E-3</v>
      </c>
      <c r="F8" s="640">
        <f>A2.5.4!F8/A2.5.4!F$29</f>
        <v>2.6308959837459899E-3</v>
      </c>
      <c r="G8" s="639">
        <f>A2.5.4!G8/A2.5.4!G$29</f>
        <v>1.0823206738231315E-2</v>
      </c>
      <c r="H8" s="640">
        <f>A2.5.4!H8/A2.5.4!H$29</f>
        <v>2.5843085651624355E-3</v>
      </c>
      <c r="I8" s="639">
        <f>A2.5.4!I8/A2.5.4!I$29</f>
        <v>1.1356710752450063E-2</v>
      </c>
      <c r="J8" s="640">
        <f>A2.5.4!J8/A2.5.4!J$29</f>
        <v>2.7011281777244755E-3</v>
      </c>
      <c r="K8" s="639">
        <f>A2.5.4!K8/A2.5.4!K$29</f>
        <v>1.130106935421012E-2</v>
      </c>
      <c r="L8" s="640">
        <f>A2.5.4!L8/A2.5.4!L$29</f>
        <v>2.7704494016135687E-3</v>
      </c>
    </row>
    <row r="9" spans="2:12" ht="13.35" customHeight="1" x14ac:dyDescent="0.2">
      <c r="B9" s="145"/>
      <c r="C9" s="16" t="s">
        <v>23</v>
      </c>
      <c r="D9" s="338" t="s">
        <v>47</v>
      </c>
      <c r="E9" s="639">
        <f>A2.5.4!E9/A2.5.4!E$29</f>
        <v>1.5164784020289411E-2</v>
      </c>
      <c r="F9" s="640">
        <f>A2.5.4!F9/A2.5.4!F$29</f>
        <v>5.0546430923852029E-3</v>
      </c>
      <c r="G9" s="639">
        <f>A2.5.4!G9/A2.5.4!G$29</f>
        <v>1.3304669084146313E-2</v>
      </c>
      <c r="H9" s="640">
        <f>A2.5.4!H9/A2.5.4!H$29</f>
        <v>3.6533439825754545E-3</v>
      </c>
      <c r="I9" s="639">
        <f>A2.5.4!I9/A2.5.4!I$29</f>
        <v>1.34687326692704E-2</v>
      </c>
      <c r="J9" s="640">
        <f>A2.5.4!J9/A2.5.4!J$29</f>
        <v>3.3449729597128659E-3</v>
      </c>
      <c r="K9" s="639">
        <f>A2.5.4!K9/A2.5.4!K$29</f>
        <v>1.3662119226981937E-2</v>
      </c>
      <c r="L9" s="640">
        <f>A2.5.4!L9/A2.5.4!L$29</f>
        <v>3.5563276203778699E-3</v>
      </c>
    </row>
    <row r="10" spans="2:12" s="50" customFormat="1" ht="13.35" customHeight="1" x14ac:dyDescent="0.2">
      <c r="B10" s="145"/>
      <c r="C10" s="16" t="s">
        <v>24</v>
      </c>
      <c r="D10" s="338" t="s">
        <v>48</v>
      </c>
      <c r="E10" s="639">
        <f>A2.5.4!E10/A2.5.4!E$29</f>
        <v>3.0907402577546744E-2</v>
      </c>
      <c r="F10" s="640">
        <f>A2.5.4!F10/A2.5.4!F$29</f>
        <v>1.1894742090449193E-2</v>
      </c>
      <c r="G10" s="639">
        <f>A2.5.4!G10/A2.5.4!G$29</f>
        <v>2.5989239176393369E-2</v>
      </c>
      <c r="H10" s="640">
        <f>A2.5.4!H10/A2.5.4!H$29</f>
        <v>8.4430997393202725E-3</v>
      </c>
      <c r="I10" s="639">
        <f>A2.5.4!I10/A2.5.4!I$29</f>
        <v>2.0360361596181018E-2</v>
      </c>
      <c r="J10" s="640">
        <f>A2.5.4!J10/A2.5.4!J$29</f>
        <v>6.1328597263910463E-3</v>
      </c>
      <c r="K10" s="639">
        <f>A2.5.4!K10/A2.5.4!K$29</f>
        <v>1.6014959272010427E-2</v>
      </c>
      <c r="L10" s="640">
        <f>A2.5.4!L10/A2.5.4!L$29</f>
        <v>4.8166858572037388E-3</v>
      </c>
    </row>
    <row r="11" spans="2:12" s="1" customFormat="1" ht="13.35" customHeight="1" x14ac:dyDescent="0.2">
      <c r="B11" s="631"/>
      <c r="C11" s="16" t="s">
        <v>25</v>
      </c>
      <c r="D11" s="338" t="s">
        <v>49</v>
      </c>
      <c r="E11" s="639">
        <f>A2.5.4!E11/A2.5.4!E$29</f>
        <v>4.0653582574129203E-2</v>
      </c>
      <c r="F11" s="640">
        <f>A2.5.4!F11/A2.5.4!F$29</f>
        <v>1.8183824432534204E-2</v>
      </c>
      <c r="G11" s="639">
        <f>A2.5.4!G11/A2.5.4!G$29</f>
        <v>4.9660171889521071E-2</v>
      </c>
      <c r="H11" s="640">
        <f>A2.5.4!H11/A2.5.4!H$29</f>
        <v>1.9308638360124603E-2</v>
      </c>
      <c r="I11" s="639">
        <f>A2.5.4!I11/A2.5.4!I$29</f>
        <v>3.6544201076636362E-2</v>
      </c>
      <c r="J11" s="640">
        <f>A2.5.4!J11/A2.5.4!J$29</f>
        <v>1.3631204424680646E-2</v>
      </c>
      <c r="K11" s="639">
        <f>A2.5.4!K11/A2.5.4!K$29</f>
        <v>2.5703521871222573E-2</v>
      </c>
      <c r="L11" s="640">
        <f>A2.5.4!L11/A2.5.4!L$29</f>
        <v>9.4545320925251333E-3</v>
      </c>
    </row>
    <row r="12" spans="2:12" s="1" customFormat="1" ht="13.35" customHeight="1" x14ac:dyDescent="0.2">
      <c r="B12" s="631"/>
      <c r="C12" s="16" t="s">
        <v>26</v>
      </c>
      <c r="D12" s="338" t="s">
        <v>50</v>
      </c>
      <c r="E12" s="639">
        <f>A2.5.4!E12/A2.5.4!E$29</f>
        <v>3.8817215422111501E-2</v>
      </c>
      <c r="F12" s="640">
        <f>A2.5.4!F12/A2.5.4!F$29</f>
        <v>1.9120997729945296E-2</v>
      </c>
      <c r="G12" s="639">
        <f>A2.5.4!G12/A2.5.4!G$29</f>
        <v>4.7618057410609503E-2</v>
      </c>
      <c r="H12" s="640">
        <f>A2.5.4!H12/A2.5.4!H$29</f>
        <v>2.0676408310750342E-2</v>
      </c>
      <c r="I12" s="639">
        <f>A2.5.4!I12/A2.5.4!I$29</f>
        <v>5.4517208740860641E-2</v>
      </c>
      <c r="J12" s="640">
        <f>A2.5.4!J12/A2.5.4!J$29</f>
        <v>2.4045585075604413E-2</v>
      </c>
      <c r="K12" s="639">
        <f>A2.5.4!K12/A2.5.4!K$29</f>
        <v>3.9863060073241322E-2</v>
      </c>
      <c r="L12" s="640">
        <f>A2.5.4!L12/A2.5.4!L$29</f>
        <v>1.7673979118336673E-2</v>
      </c>
    </row>
    <row r="13" spans="2:12" s="1" customFormat="1" ht="13.35" customHeight="1" x14ac:dyDescent="0.2">
      <c r="B13" s="631"/>
      <c r="C13" s="16" t="s">
        <v>27</v>
      </c>
      <c r="D13" s="338" t="s">
        <v>51</v>
      </c>
      <c r="E13" s="639">
        <f>A2.5.4!E13/A2.5.4!E$29</f>
        <v>4.007631013301436E-2</v>
      </c>
      <c r="F13" s="640">
        <f>A2.5.4!F13/A2.5.4!F$29</f>
        <v>2.2312326816535399E-2</v>
      </c>
      <c r="G13" s="639">
        <f>A2.5.4!G13/A2.5.4!G$29</f>
        <v>4.3254970522637347E-2</v>
      </c>
      <c r="H13" s="640">
        <f>A2.5.4!H13/A2.5.4!H$29</f>
        <v>2.2272475247138161E-2</v>
      </c>
      <c r="I13" s="639">
        <f>A2.5.4!I13/A2.5.4!I$29</f>
        <v>4.6064221927402491E-2</v>
      </c>
      <c r="J13" s="640">
        <f>A2.5.4!J13/A2.5.4!J$29</f>
        <v>2.3844098245692842E-2</v>
      </c>
      <c r="K13" s="639">
        <f>A2.5.4!K13/A2.5.4!K$29</f>
        <v>5.0270706996560083E-2</v>
      </c>
      <c r="L13" s="640">
        <f>A2.5.4!L13/A2.5.4!L$29</f>
        <v>2.3785925812482261E-2</v>
      </c>
    </row>
    <row r="14" spans="2:12" s="1" customFormat="1" ht="13.35" customHeight="1" x14ac:dyDescent="0.2">
      <c r="B14" s="631"/>
      <c r="C14" s="16" t="s">
        <v>28</v>
      </c>
      <c r="D14" s="338" t="s">
        <v>52</v>
      </c>
      <c r="E14" s="639">
        <f>A2.5.4!E14/A2.5.4!E$29</f>
        <v>4.3695645331007005E-2</v>
      </c>
      <c r="F14" s="640">
        <f>A2.5.4!F14/A2.5.4!F$29</f>
        <v>2.6362204707557169E-2</v>
      </c>
      <c r="G14" s="639">
        <f>A2.5.4!G14/A2.5.4!G$29</f>
        <v>4.3908660431552643E-2</v>
      </c>
      <c r="H14" s="640">
        <f>A2.5.4!H14/A2.5.4!H$29</f>
        <v>2.3359892057187463E-2</v>
      </c>
      <c r="I14" s="639">
        <f>A2.5.4!I14/A2.5.4!I$29</f>
        <v>3.9329365678149611E-2</v>
      </c>
      <c r="J14" s="640">
        <f>A2.5.4!J14/A2.5.4!J$29</f>
        <v>2.1792773728580888E-2</v>
      </c>
      <c r="K14" s="639">
        <f>A2.5.4!K14/A2.5.4!K$29</f>
        <v>4.4227307915384685E-2</v>
      </c>
      <c r="L14" s="640">
        <f>A2.5.4!L14/A2.5.4!L$29</f>
        <v>2.429392100039806E-2</v>
      </c>
    </row>
    <row r="15" spans="2:12" customFormat="1" ht="13.35" customHeight="1" x14ac:dyDescent="0.2">
      <c r="B15" s="631"/>
      <c r="C15" s="16" t="s">
        <v>29</v>
      </c>
      <c r="D15" s="338" t="s">
        <v>53</v>
      </c>
      <c r="E15" s="639">
        <f>A2.5.4!E15/A2.5.4!E$29</f>
        <v>5.4486761518468221E-2</v>
      </c>
      <c r="F15" s="640">
        <f>A2.5.4!F15/A2.5.4!F$29</f>
        <v>3.5029556824360208E-2</v>
      </c>
      <c r="G15" s="639">
        <f>A2.5.4!G15/A2.5.4!G$29</f>
        <v>4.4369335864915461E-2</v>
      </c>
      <c r="H15" s="640">
        <f>A2.5.4!H15/A2.5.4!H$29</f>
        <v>2.5772258135518082E-2</v>
      </c>
      <c r="I15" s="639">
        <f>A2.5.4!I15/A2.5.4!I$29</f>
        <v>4.0642826768150848E-2</v>
      </c>
      <c r="J15" s="640">
        <f>A2.5.4!J15/A2.5.4!J$29</f>
        <v>2.335049164023854E-2</v>
      </c>
      <c r="K15" s="639">
        <f>A2.5.4!K15/A2.5.4!K$29</f>
        <v>3.7535815373530262E-2</v>
      </c>
      <c r="L15" s="640">
        <f>A2.5.4!L15/A2.5.4!L$29</f>
        <v>2.1223368729019337E-2</v>
      </c>
    </row>
    <row r="16" spans="2:12" customFormat="1" ht="13.35" customHeight="1" x14ac:dyDescent="0.2">
      <c r="B16" s="631"/>
      <c r="C16" s="16" t="s">
        <v>30</v>
      </c>
      <c r="D16" s="338" t="s">
        <v>54</v>
      </c>
      <c r="E16" s="639">
        <f>A2.5.4!E16/A2.5.4!E$29</f>
        <v>4.7150848539899815E-2</v>
      </c>
      <c r="F16" s="640">
        <f>A2.5.4!F16/A2.5.4!F$29</f>
        <v>3.2053364320068979E-2</v>
      </c>
      <c r="G16" s="639">
        <f>A2.5.4!G16/A2.5.4!G$29</f>
        <v>5.1836650036496797E-2</v>
      </c>
      <c r="H16" s="640">
        <f>A2.5.4!H16/A2.5.4!H$29</f>
        <v>3.2984319610470325E-2</v>
      </c>
      <c r="I16" s="639">
        <f>A2.5.4!I16/A2.5.4!I$29</f>
        <v>4.0234727891623051E-2</v>
      </c>
      <c r="J16" s="640">
        <f>A2.5.4!J16/A2.5.4!J$29</f>
        <v>2.4808443095518069E-2</v>
      </c>
      <c r="K16" s="639">
        <f>A2.5.4!K16/A2.5.4!K$29</f>
        <v>3.8311885560796434E-2</v>
      </c>
      <c r="L16" s="640">
        <f>A2.5.4!L16/A2.5.4!L$29</f>
        <v>2.2744197172547258E-2</v>
      </c>
    </row>
    <row r="17" spans="2:12" customFormat="1" ht="13.35" customHeight="1" x14ac:dyDescent="0.2">
      <c r="B17" s="631"/>
      <c r="C17" s="16" t="s">
        <v>31</v>
      </c>
      <c r="D17" s="338" t="s">
        <v>55</v>
      </c>
      <c r="E17" s="639">
        <f>A2.5.4!E17/A2.5.4!E$29</f>
        <v>5.5398480992166634E-2</v>
      </c>
      <c r="F17" s="640">
        <f>A2.5.4!F17/A2.5.4!F$29</f>
        <v>3.6634716307500752E-2</v>
      </c>
      <c r="G17" s="639">
        <f>A2.5.4!G17/A2.5.4!G$29</f>
        <v>4.5364266835580994E-2</v>
      </c>
      <c r="H17" s="640">
        <f>A2.5.4!H17/A2.5.4!H$29</f>
        <v>3.1463530473603354E-2</v>
      </c>
      <c r="I17" s="639">
        <f>A2.5.4!I17/A2.5.4!I$29</f>
        <v>4.6612436384586897E-2</v>
      </c>
      <c r="J17" s="640">
        <f>A2.5.4!J17/A2.5.4!J$29</f>
        <v>3.1091005272268785E-2</v>
      </c>
      <c r="K17" s="639">
        <f>A2.5.4!K17/A2.5.4!K$29</f>
        <v>3.8280977973998029E-2</v>
      </c>
      <c r="L17" s="640">
        <f>A2.5.4!L17/A2.5.4!L$29</f>
        <v>2.4670069388610379E-2</v>
      </c>
    </row>
    <row r="18" spans="2:12" customFormat="1" ht="13.35" customHeight="1" x14ac:dyDescent="0.2">
      <c r="B18" s="631"/>
      <c r="C18" s="16" t="s">
        <v>32</v>
      </c>
      <c r="D18" s="338" t="s">
        <v>56</v>
      </c>
      <c r="E18" s="639">
        <f>A2.5.4!E18/A2.5.4!E$29</f>
        <v>6.583154212121485E-2</v>
      </c>
      <c r="F18" s="640">
        <f>A2.5.4!F18/A2.5.4!F$29</f>
        <v>4.407878681821685E-2</v>
      </c>
      <c r="G18" s="639">
        <f>A2.5.4!G18/A2.5.4!G$29</f>
        <v>4.1860680871892243E-2</v>
      </c>
      <c r="H18" s="640">
        <f>A2.5.4!H18/A2.5.4!H$29</f>
        <v>3.0368109152413409E-2</v>
      </c>
      <c r="I18" s="639">
        <f>A2.5.4!I18/A2.5.4!I$29</f>
        <v>4.1387007072407424E-2</v>
      </c>
      <c r="J18" s="640">
        <f>A2.5.4!J18/A2.5.4!J$29</f>
        <v>2.8665688304138872E-2</v>
      </c>
      <c r="K18" s="639">
        <f>A2.5.4!K18/A2.5.4!K$29</f>
        <v>4.8439432478754658E-2</v>
      </c>
      <c r="L18" s="640">
        <f>A2.5.4!L18/A2.5.4!L$29</f>
        <v>3.4359372808525517E-2</v>
      </c>
    </row>
    <row r="19" spans="2:12" customFormat="1" ht="13.35" customHeight="1" x14ac:dyDescent="0.2">
      <c r="B19" s="631"/>
      <c r="C19" s="16" t="s">
        <v>33</v>
      </c>
      <c r="D19" s="338" t="s">
        <v>57</v>
      </c>
      <c r="E19" s="639">
        <f>A2.5.4!E19/A2.5.4!E$29</f>
        <v>5.0186728242393716E-2</v>
      </c>
      <c r="F19" s="640">
        <f>A2.5.4!F19/A2.5.4!F$29</f>
        <v>4.0213541439102052E-2</v>
      </c>
      <c r="G19" s="639">
        <f>A2.5.4!G19/A2.5.4!G$29</f>
        <v>4.7814271021115892E-2</v>
      </c>
      <c r="H19" s="640">
        <f>A2.5.4!H19/A2.5.4!H$29</f>
        <v>3.3380043449771635E-2</v>
      </c>
      <c r="I19" s="639">
        <f>A2.5.4!I19/A2.5.4!I$29</f>
        <v>3.9382766371476779E-2</v>
      </c>
      <c r="J19" s="640">
        <f>A2.5.4!J19/A2.5.4!J$29</f>
        <v>2.7626042340171044E-2</v>
      </c>
      <c r="K19" s="639">
        <f>A2.5.4!K19/A2.5.4!K$29</f>
        <v>3.9461261444862075E-2</v>
      </c>
      <c r="L19" s="640">
        <f>A2.5.4!L19/A2.5.4!L$29</f>
        <v>2.8063050657114213E-2</v>
      </c>
    </row>
    <row r="20" spans="2:12" customFormat="1" ht="13.35" customHeight="1" x14ac:dyDescent="0.2">
      <c r="B20" s="631"/>
      <c r="C20" s="16" t="s">
        <v>34</v>
      </c>
      <c r="D20" s="338" t="s">
        <v>58</v>
      </c>
      <c r="E20" s="639">
        <f>A2.5.4!E20/A2.5.4!E$29</f>
        <v>0.18981302443543094</v>
      </c>
      <c r="F20" s="640">
        <f>A2.5.4!F20/A2.5.4!F$29</f>
        <v>0.16483884918778391</v>
      </c>
      <c r="G20" s="639">
        <f>A2.5.4!G20/A2.5.4!G$29</f>
        <v>0.21101760750559714</v>
      </c>
      <c r="H20" s="640">
        <f>A2.5.4!H20/A2.5.4!H$29</f>
        <v>0.17300095035011828</v>
      </c>
      <c r="I20" s="639">
        <f>A2.5.4!I20/A2.5.4!I$29</f>
        <v>0.20496361894049106</v>
      </c>
      <c r="J20" s="640">
        <f>A2.5.4!J20/A2.5.4!J$29</f>
        <v>0.16478585298931539</v>
      </c>
      <c r="K20" s="639">
        <f>A2.5.4!K20/A2.5.4!K$29</f>
        <v>0.18741636237986486</v>
      </c>
      <c r="L20" s="640">
        <f>A2.5.4!L20/A2.5.4!L$29</f>
        <v>0.14401854326036378</v>
      </c>
    </row>
    <row r="21" spans="2:12" customFormat="1" ht="13.35" customHeight="1" x14ac:dyDescent="0.2">
      <c r="B21" s="631"/>
      <c r="C21" s="16" t="s">
        <v>35</v>
      </c>
      <c r="D21" s="338" t="s">
        <v>59</v>
      </c>
      <c r="E21" s="639">
        <f>A2.5.4!E21/A2.5.4!E$29</f>
        <v>0.15267591351818044</v>
      </c>
      <c r="F21" s="640">
        <f>A2.5.4!F21/A2.5.4!F$29</f>
        <v>0.17991160079570953</v>
      </c>
      <c r="G21" s="639">
        <f>A2.5.4!G21/A2.5.4!G$29</f>
        <v>0.16359842965128896</v>
      </c>
      <c r="H21" s="640">
        <f>A2.5.4!H21/A2.5.4!H$29</f>
        <v>0.18556493349893433</v>
      </c>
      <c r="I21" s="639">
        <f>A2.5.4!I21/A2.5.4!I$29</f>
        <v>0.1844136603872677</v>
      </c>
      <c r="J21" s="640">
        <f>A2.5.4!J21/A2.5.4!J$29</f>
        <v>0.19192968053225576</v>
      </c>
      <c r="K21" s="639">
        <f>A2.5.4!K21/A2.5.4!K$29</f>
        <v>0.20936461245508137</v>
      </c>
      <c r="L21" s="640">
        <f>A2.5.4!L21/A2.5.4!L$29</f>
        <v>0.20606765727434059</v>
      </c>
    </row>
    <row r="22" spans="2:12" customFormat="1" ht="13.35" customHeight="1" x14ac:dyDescent="0.2">
      <c r="B22" s="631"/>
      <c r="C22" s="16" t="s">
        <v>36</v>
      </c>
      <c r="D22" s="338" t="s">
        <v>60</v>
      </c>
      <c r="E22" s="639">
        <f>A2.5.4!E22/A2.5.4!E$29</f>
        <v>6.593159518306338E-2</v>
      </c>
      <c r="F22" s="640">
        <f>A2.5.4!F22/A2.5.4!F$29</f>
        <v>0.12279776090913054</v>
      </c>
      <c r="G22" s="639">
        <f>A2.5.4!G22/A2.5.4!G$29</f>
        <v>6.5313006029836196E-2</v>
      </c>
      <c r="H22" s="640">
        <f>A2.5.4!H22/A2.5.4!H$29</f>
        <v>0.12527162354291041</v>
      </c>
      <c r="I22" s="639">
        <f>A2.5.4!I22/A2.5.4!I$29</f>
        <v>7.3417134861736302E-2</v>
      </c>
      <c r="J22" s="640">
        <f>A2.5.4!J22/A2.5.4!J$29</f>
        <v>0.1265126552525293</v>
      </c>
      <c r="K22" s="639">
        <f>A2.5.4!K22/A2.5.4!K$29</f>
        <v>7.9437810313378779E-2</v>
      </c>
      <c r="L22" s="640">
        <f>A2.5.4!L22/A2.5.4!L$29</f>
        <v>0.1188923288121356</v>
      </c>
    </row>
    <row r="23" spans="2:12" customFormat="1" ht="13.35" customHeight="1" x14ac:dyDescent="0.2">
      <c r="B23" s="631"/>
      <c r="C23" s="16" t="s">
        <v>37</v>
      </c>
      <c r="D23" s="338" t="s">
        <v>61</v>
      </c>
      <c r="E23" s="639">
        <f>A2.5.4!E23/A2.5.4!E$29</f>
        <v>3.3435709724707934E-2</v>
      </c>
      <c r="F23" s="640">
        <f>A2.5.4!F23/A2.5.4!F$29</f>
        <v>8.142450354441462E-2</v>
      </c>
      <c r="G23" s="639">
        <f>A2.5.4!G23/A2.5.4!G$29</f>
        <v>2.9138787538516252E-2</v>
      </c>
      <c r="H23" s="640">
        <f>A2.5.4!H23/A2.5.4!H$29</f>
        <v>7.6886622866617904E-2</v>
      </c>
      <c r="I23" s="639">
        <f>A2.5.4!I23/A2.5.4!I$29</f>
        <v>3.4048086099554571E-2</v>
      </c>
      <c r="J23" s="640">
        <f>A2.5.4!J23/A2.5.4!J$29</f>
        <v>8.1889558763883111E-2</v>
      </c>
      <c r="K23" s="639">
        <f>A2.5.4!K23/A2.5.4!K$29</f>
        <v>4.0557031983074233E-2</v>
      </c>
      <c r="L23" s="640">
        <f>A2.5.4!L23/A2.5.4!L$29</f>
        <v>8.8999010702186826E-2</v>
      </c>
    </row>
    <row r="24" spans="2:12" customFormat="1" ht="13.35" customHeight="1" x14ac:dyDescent="0.2">
      <c r="B24" s="631"/>
      <c r="C24" s="16" t="s">
        <v>38</v>
      </c>
      <c r="D24" s="338" t="s">
        <v>62</v>
      </c>
      <c r="E24" s="639">
        <f>A2.5.4!E24/A2.5.4!E$29</f>
        <v>3.0556654765223804E-2</v>
      </c>
      <c r="F24" s="640">
        <f>A2.5.4!F24/A2.5.4!F$29</f>
        <v>8.1449828911864433E-2</v>
      </c>
      <c r="G24" s="639">
        <f>A2.5.4!G24/A2.5.4!G$29</f>
        <v>2.9685839615634597E-2</v>
      </c>
      <c r="H24" s="640">
        <f>A2.5.4!H24/A2.5.4!H$29</f>
        <v>0.10055240272191281</v>
      </c>
      <c r="I24" s="639">
        <f>A2.5.4!I24/A2.5.4!I$29</f>
        <v>3.4586012349767679E-2</v>
      </c>
      <c r="J24" s="640">
        <f>A2.5.4!J24/A2.5.4!J$29</f>
        <v>0.11229715306210068</v>
      </c>
      <c r="K24" s="639">
        <f>A2.5.4!K24/A2.5.4!K$29</f>
        <v>3.9771303174933562E-2</v>
      </c>
      <c r="L24" s="640">
        <f>A2.5.4!L24/A2.5.4!L$29</f>
        <v>0.1221287131963954</v>
      </c>
    </row>
    <row r="25" spans="2:12" customFormat="1" ht="13.35" customHeight="1" x14ac:dyDescent="0.2">
      <c r="B25" s="631"/>
      <c r="C25" s="16" t="s">
        <v>39</v>
      </c>
      <c r="D25" s="338" t="s">
        <v>63</v>
      </c>
      <c r="E25" s="639">
        <f>A2.5.4!E25/A2.5.4!E$29</f>
        <v>8.7996105799929853E-3</v>
      </c>
      <c r="F25" s="640">
        <f>A2.5.4!F25/A2.5.4!F$29</f>
        <v>2.4231507294188857E-2</v>
      </c>
      <c r="G25" s="639">
        <f>A2.5.4!G25/A2.5.4!G$29</f>
        <v>7.7184462654631518E-3</v>
      </c>
      <c r="H25" s="640">
        <f>A2.5.4!H25/A2.5.4!H$29</f>
        <v>2.9235864290205936E-2</v>
      </c>
      <c r="I25" s="639">
        <f>A2.5.4!I25/A2.5.4!I$29</f>
        <v>9.4088102325526699E-3</v>
      </c>
      <c r="J25" s="640">
        <f>A2.5.4!J25/A2.5.4!J$29</f>
        <v>3.5283465047057053E-2</v>
      </c>
      <c r="K25" s="639">
        <f>A2.5.4!K25/A2.5.4!K$29</f>
        <v>1.2013392643704584E-2</v>
      </c>
      <c r="L25" s="640">
        <f>A2.5.4!L25/A2.5.4!L$29</f>
        <v>4.1946255297771712E-2</v>
      </c>
    </row>
    <row r="26" spans="2:12" customFormat="1" ht="13.35" customHeight="1" x14ac:dyDescent="0.2">
      <c r="B26" s="631"/>
      <c r="C26" s="16" t="s">
        <v>40</v>
      </c>
      <c r="D26" s="338" t="s">
        <v>64</v>
      </c>
      <c r="E26" s="639">
        <f>A2.5.4!E26/A2.5.4!E$29</f>
        <v>7.7215107337824107E-3</v>
      </c>
      <c r="F26" s="640">
        <f>A2.5.4!F26/A2.5.4!F$29</f>
        <v>2.9119467612741205E-2</v>
      </c>
      <c r="G26" s="639">
        <f>A2.5.4!G26/A2.5.4!G$29</f>
        <v>5.9215987996845652E-3</v>
      </c>
      <c r="H26" s="640">
        <f>A2.5.4!H26/A2.5.4!H$29</f>
        <v>3.2994820134068341E-2</v>
      </c>
      <c r="I26" s="639">
        <f>A2.5.4!I26/A2.5.4!I$29</f>
        <v>7.2639640363477455E-3</v>
      </c>
      <c r="J26" s="640">
        <f>A2.5.4!J26/A2.5.4!J$29</f>
        <v>3.5976821875728052E-2</v>
      </c>
      <c r="K26" s="639">
        <f>A2.5.4!K26/A2.5.4!K$29</f>
        <v>8.5140743008728006E-3</v>
      </c>
      <c r="L26" s="640">
        <f>A2.5.4!L26/A2.5.4!L$29</f>
        <v>3.9234143658963674E-2</v>
      </c>
    </row>
    <row r="27" spans="2:12" customFormat="1" ht="13.35" customHeight="1" x14ac:dyDescent="0.2">
      <c r="B27" s="631"/>
      <c r="C27" s="16" t="s">
        <v>41</v>
      </c>
      <c r="D27" s="338" t="s">
        <v>65</v>
      </c>
      <c r="E27" s="639">
        <f>A2.5.4!E27/A2.5.4!E$29</f>
        <v>1.8099486469228625E-3</v>
      </c>
      <c r="F27" s="640">
        <f>A2.5.4!F27/A2.5.4!F$29</f>
        <v>1.3885361465244921E-2</v>
      </c>
      <c r="G27" s="639">
        <f>A2.5.4!G27/A2.5.4!G$29</f>
        <v>1.384159056724395E-3</v>
      </c>
      <c r="H27" s="640">
        <f>A2.5.4!H27/A2.5.4!H$29</f>
        <v>1.4844759973724675E-2</v>
      </c>
      <c r="I27" s="639">
        <f>A2.5.4!I27/A2.5.4!I$29</f>
        <v>1.5750754958425847E-3</v>
      </c>
      <c r="J27" s="640">
        <f>A2.5.4!J27/A2.5.4!J$29</f>
        <v>1.3367091672826247E-2</v>
      </c>
      <c r="K27" s="639">
        <f>A2.5.4!K27/A2.5.4!K$29</f>
        <v>1.7781521029956696E-3</v>
      </c>
      <c r="L27" s="640">
        <f>A2.5.4!L27/A2.5.4!L$29</f>
        <v>1.4819350128010268E-2</v>
      </c>
    </row>
    <row r="28" spans="2:12" customFormat="1" ht="13.35" customHeight="1" x14ac:dyDescent="0.2">
      <c r="B28" s="632"/>
      <c r="C28" s="280" t="s">
        <v>42</v>
      </c>
      <c r="D28" s="434" t="s">
        <v>66</v>
      </c>
      <c r="E28" s="641">
        <f>A2.5.4!E28/A2.5.4!E$29</f>
        <v>2.6418505094836814E-4</v>
      </c>
      <c r="F28" s="642">
        <f>A2.5.4!F28/A2.5.4!F$29</f>
        <v>4.4235755557526669E-3</v>
      </c>
      <c r="G28" s="641">
        <f>A2.5.4!G28/A2.5.4!G$29</f>
        <v>1.8928215143958408E-4</v>
      </c>
      <c r="H28" s="642">
        <f>A2.5.4!H28/A2.5.4!H$29</f>
        <v>3.1042396184817345E-3</v>
      </c>
      <c r="I28" s="641">
        <f>A2.5.4!I28/A2.5.4!I$29</f>
        <v>2.2193132180923508E-4</v>
      </c>
      <c r="J28" s="642">
        <f>A2.5.4!J28/A2.5.4!J$29</f>
        <v>2.9936249198207329E-3</v>
      </c>
      <c r="K28" s="641">
        <f>A2.5.4!K28/A2.5.4!K$29</f>
        <v>2.5257293586820618E-4</v>
      </c>
      <c r="L28" s="642">
        <f>A2.5.4!L28/A2.5.4!L$29</f>
        <v>2.9877315589539057E-3</v>
      </c>
    </row>
    <row r="29" spans="2:12" customFormat="1" ht="13.35" customHeight="1" x14ac:dyDescent="0.2">
      <c r="B29" s="632"/>
      <c r="C29" s="635" t="s">
        <v>8</v>
      </c>
      <c r="D29" s="636"/>
      <c r="E29" s="643">
        <f>A2.5.4!E29/A2.5.4!E$29</f>
        <v>1</v>
      </c>
      <c r="F29" s="644">
        <f>A2.5.4!F29/A2.5.4!F$29</f>
        <v>1</v>
      </c>
      <c r="G29" s="643">
        <f>A2.5.4!G29/A2.5.4!G$29</f>
        <v>1</v>
      </c>
      <c r="H29" s="644">
        <f>A2.5.4!H29/A2.5.4!H$29</f>
        <v>1</v>
      </c>
      <c r="I29" s="643">
        <f>A2.5.4!I29/A2.5.4!I$29</f>
        <v>1</v>
      </c>
      <c r="J29" s="644">
        <f>A2.5.4!J29/A2.5.4!J$29</f>
        <v>1</v>
      </c>
      <c r="K29" s="643">
        <f>A2.5.4!K29/A2.5.4!K$29</f>
        <v>1</v>
      </c>
      <c r="L29" s="644">
        <f>A2.5.4!L29/A2.5.4!L$29</f>
        <v>1</v>
      </c>
    </row>
    <row r="30" spans="2:12" s="1" customFormat="1" ht="13.35" customHeight="1" x14ac:dyDescent="0.2"/>
    <row r="31" spans="2:12" s="1" customFormat="1" ht="13.35" customHeight="1" x14ac:dyDescent="0.2"/>
    <row r="32" spans="2:12" x14ac:dyDescent="0.2">
      <c r="G32" s="352" t="s">
        <v>371</v>
      </c>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enableFormatConditionsCalculation="0">
    <tabColor theme="7" tint="0.79998168889431442"/>
    <pageSetUpPr fitToPage="1"/>
  </sheetPr>
  <dimension ref="B1:L57"/>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4.7109375" style="2" customWidth="1"/>
    <col min="4" max="4" width="36.28515625" style="2" customWidth="1"/>
    <col min="5" max="6" width="10.7109375" style="2" customWidth="1"/>
    <col min="7" max="8" width="10.7109375" style="14" customWidth="1"/>
    <col min="9" max="12" width="10.7109375" style="6" customWidth="1"/>
    <col min="13" max="16384" width="9.140625" style="10"/>
  </cols>
  <sheetData>
    <row r="1" spans="2:12" s="8" customFormat="1" ht="15" customHeight="1" x14ac:dyDescent="0.2">
      <c r="B1" s="439" t="s">
        <v>380</v>
      </c>
      <c r="C1" s="311"/>
      <c r="D1" s="51"/>
      <c r="E1" s="70"/>
      <c r="F1" s="70"/>
      <c r="G1" s="61"/>
      <c r="H1" s="61"/>
      <c r="I1" s="4"/>
      <c r="J1" s="4"/>
      <c r="K1" s="4"/>
      <c r="L1" s="4"/>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610"/>
      <c r="C3" s="611" t="s">
        <v>93</v>
      </c>
      <c r="D3" s="625"/>
      <c r="E3" s="623" t="s">
        <v>17</v>
      </c>
      <c r="F3" s="624" t="s">
        <v>104</v>
      </c>
      <c r="G3" s="623" t="s">
        <v>17</v>
      </c>
      <c r="H3" s="624" t="s">
        <v>104</v>
      </c>
      <c r="I3" s="623" t="s">
        <v>17</v>
      </c>
      <c r="J3" s="624" t="s">
        <v>104</v>
      </c>
      <c r="K3" s="623" t="s">
        <v>17</v>
      </c>
      <c r="L3" s="624" t="s">
        <v>104</v>
      </c>
    </row>
    <row r="4" spans="2:12" ht="13.35" customHeight="1" x14ac:dyDescent="0.2">
      <c r="B4" s="48"/>
      <c r="C4" s="116">
        <v>3801</v>
      </c>
      <c r="D4" s="648" t="s">
        <v>257</v>
      </c>
      <c r="E4" s="15">
        <v>67303</v>
      </c>
      <c r="F4" s="24">
        <v>251.52393599999999</v>
      </c>
      <c r="G4" s="15">
        <v>690954</v>
      </c>
      <c r="H4" s="24">
        <v>4377.6105049999996</v>
      </c>
      <c r="I4" s="15">
        <v>755459</v>
      </c>
      <c r="J4" s="24">
        <v>4919.9736509999993</v>
      </c>
      <c r="K4" s="15">
        <v>809512</v>
      </c>
      <c r="L4" s="24">
        <v>5400.5504489999994</v>
      </c>
    </row>
    <row r="5" spans="2:12" ht="13.35" customHeight="1" x14ac:dyDescent="0.2">
      <c r="B5" s="48"/>
      <c r="C5" s="116">
        <v>3802</v>
      </c>
      <c r="D5" s="649" t="s">
        <v>82</v>
      </c>
      <c r="E5" s="15">
        <v>107727</v>
      </c>
      <c r="F5" s="24">
        <v>4312.6864530000003</v>
      </c>
      <c r="G5" s="15">
        <v>101051</v>
      </c>
      <c r="H5" s="24">
        <v>4296.0585449999999</v>
      </c>
      <c r="I5" s="15">
        <v>97848</v>
      </c>
      <c r="J5" s="24">
        <v>4387.538869</v>
      </c>
      <c r="K5" s="15">
        <v>91358</v>
      </c>
      <c r="L5" s="24">
        <v>5946.2317540000004</v>
      </c>
    </row>
    <row r="6" spans="2:12" ht="13.35" customHeight="1" x14ac:dyDescent="0.2">
      <c r="B6" s="48"/>
      <c r="C6" s="116">
        <v>3803</v>
      </c>
      <c r="D6" s="649" t="s">
        <v>78</v>
      </c>
      <c r="E6" s="15">
        <v>16495</v>
      </c>
      <c r="F6" s="24">
        <v>33.882103000000001</v>
      </c>
      <c r="G6" s="15">
        <v>0</v>
      </c>
      <c r="H6" s="24">
        <v>0</v>
      </c>
      <c r="I6" s="15">
        <v>0</v>
      </c>
      <c r="J6" s="24">
        <v>0</v>
      </c>
      <c r="K6" s="15">
        <v>0</v>
      </c>
      <c r="L6" s="24">
        <v>0</v>
      </c>
    </row>
    <row r="7" spans="2:12" ht="13.35" customHeight="1" x14ac:dyDescent="0.2">
      <c r="B7" s="48"/>
      <c r="C7" s="116">
        <v>3804</v>
      </c>
      <c r="D7" s="649" t="s">
        <v>94</v>
      </c>
      <c r="E7" s="15">
        <v>29187</v>
      </c>
      <c r="F7" s="24">
        <v>33.001773</v>
      </c>
      <c r="G7" s="15">
        <v>0</v>
      </c>
      <c r="H7" s="24">
        <v>0</v>
      </c>
      <c r="I7" s="15">
        <v>0</v>
      </c>
      <c r="J7" s="24">
        <v>0</v>
      </c>
      <c r="K7" s="15">
        <v>0</v>
      </c>
      <c r="L7" s="24">
        <v>0</v>
      </c>
    </row>
    <row r="8" spans="2:12" ht="13.35" customHeight="1" x14ac:dyDescent="0.2">
      <c r="B8" s="48"/>
      <c r="C8" s="116">
        <v>3805</v>
      </c>
      <c r="D8" s="650" t="s">
        <v>83</v>
      </c>
      <c r="E8" s="15">
        <v>98631</v>
      </c>
      <c r="F8" s="24">
        <v>1193.925062</v>
      </c>
      <c r="G8" s="15">
        <v>0</v>
      </c>
      <c r="H8" s="24">
        <v>0</v>
      </c>
      <c r="I8" s="15">
        <v>0</v>
      </c>
      <c r="J8" s="24">
        <v>0</v>
      </c>
      <c r="K8" s="15">
        <v>0</v>
      </c>
      <c r="L8" s="24">
        <v>0</v>
      </c>
    </row>
    <row r="9" spans="2:12" ht="13.35" customHeight="1" x14ac:dyDescent="0.2">
      <c r="B9" s="48"/>
      <c r="C9" s="116">
        <v>3806</v>
      </c>
      <c r="D9" s="649" t="s">
        <v>79</v>
      </c>
      <c r="E9" s="15">
        <v>145845</v>
      </c>
      <c r="F9" s="24">
        <v>351.90132899999998</v>
      </c>
      <c r="G9" s="15">
        <v>0</v>
      </c>
      <c r="H9" s="24">
        <v>0</v>
      </c>
      <c r="I9" s="15">
        <v>0</v>
      </c>
      <c r="J9" s="24">
        <v>0</v>
      </c>
      <c r="K9" s="15">
        <v>0</v>
      </c>
      <c r="L9" s="24">
        <v>0</v>
      </c>
    </row>
    <row r="10" spans="2:12" s="50" customFormat="1" ht="13.35" customHeight="1" x14ac:dyDescent="0.2">
      <c r="B10" s="48"/>
      <c r="C10" s="116">
        <v>3807</v>
      </c>
      <c r="D10" s="649" t="s">
        <v>84</v>
      </c>
      <c r="E10" s="15">
        <v>104774</v>
      </c>
      <c r="F10" s="24">
        <v>307.95834200000002</v>
      </c>
      <c r="G10" s="15">
        <v>0</v>
      </c>
      <c r="H10" s="24">
        <v>0</v>
      </c>
      <c r="I10" s="15">
        <v>0</v>
      </c>
      <c r="J10" s="24">
        <v>0</v>
      </c>
      <c r="K10" s="15">
        <v>0</v>
      </c>
      <c r="L10" s="24">
        <v>0</v>
      </c>
    </row>
    <row r="11" spans="2:12" s="1" customFormat="1" ht="13.35" customHeight="1" x14ac:dyDescent="0.2">
      <c r="B11" s="26"/>
      <c r="C11" s="116">
        <v>3808</v>
      </c>
      <c r="D11" s="649" t="s">
        <v>211</v>
      </c>
      <c r="E11" s="15">
        <v>329385</v>
      </c>
      <c r="F11" s="24">
        <v>1904.994923</v>
      </c>
      <c r="G11" s="15">
        <v>0</v>
      </c>
      <c r="H11" s="24">
        <v>0</v>
      </c>
      <c r="I11" s="15">
        <v>0</v>
      </c>
      <c r="J11" s="24">
        <v>0</v>
      </c>
      <c r="K11" s="15">
        <v>0</v>
      </c>
      <c r="L11" s="24">
        <v>0</v>
      </c>
    </row>
    <row r="12" spans="2:12" s="1" customFormat="1" ht="13.35" customHeight="1" x14ac:dyDescent="0.2">
      <c r="B12" s="26"/>
      <c r="C12" s="116">
        <v>3809</v>
      </c>
      <c r="D12" s="649" t="s">
        <v>95</v>
      </c>
      <c r="E12" s="15">
        <v>10068</v>
      </c>
      <c r="F12" s="24">
        <v>80.248189999999994</v>
      </c>
      <c r="G12" s="15">
        <v>0</v>
      </c>
      <c r="H12" s="24">
        <v>0</v>
      </c>
      <c r="I12" s="15">
        <v>0</v>
      </c>
      <c r="J12" s="24">
        <v>0</v>
      </c>
      <c r="K12" s="15">
        <v>0</v>
      </c>
      <c r="L12" s="24">
        <v>0</v>
      </c>
    </row>
    <row r="13" spans="2:12" s="1" customFormat="1" ht="13.35" customHeight="1" x14ac:dyDescent="0.2">
      <c r="B13" s="26"/>
      <c r="C13" s="116">
        <v>3810</v>
      </c>
      <c r="D13" s="649" t="s">
        <v>160</v>
      </c>
      <c r="E13" s="15">
        <v>1036491</v>
      </c>
      <c r="F13" s="24">
        <v>7431.3881190000002</v>
      </c>
      <c r="G13" s="15">
        <v>1006524</v>
      </c>
      <c r="H13" s="24">
        <v>7995.2649240000001</v>
      </c>
      <c r="I13" s="15">
        <v>2000054</v>
      </c>
      <c r="J13" s="24">
        <v>35257.440419999999</v>
      </c>
      <c r="K13" s="15">
        <v>1970173</v>
      </c>
      <c r="L13" s="24">
        <v>38019.414949999998</v>
      </c>
    </row>
    <row r="14" spans="2:12" s="1" customFormat="1" ht="13.35" customHeight="1" x14ac:dyDescent="0.2">
      <c r="B14" s="26"/>
      <c r="C14" s="116"/>
      <c r="D14" s="651" t="s">
        <v>0</v>
      </c>
      <c r="E14" s="15">
        <f t="shared" ref="E14:L14" si="0">E40</f>
        <v>1473</v>
      </c>
      <c r="F14" s="24">
        <f t="shared" si="0"/>
        <v>8.8715689999999991</v>
      </c>
      <c r="G14" s="15">
        <f t="shared" si="0"/>
        <v>2183</v>
      </c>
      <c r="H14" s="24">
        <f t="shared" si="0"/>
        <v>16.810525999999999</v>
      </c>
      <c r="I14" s="15">
        <f t="shared" si="0"/>
        <v>2335</v>
      </c>
      <c r="J14" s="24">
        <f t="shared" si="0"/>
        <v>12.349684</v>
      </c>
      <c r="K14" s="15">
        <f t="shared" si="0"/>
        <v>3469</v>
      </c>
      <c r="L14" s="24">
        <f t="shared" si="0"/>
        <v>16.344024999999998</v>
      </c>
    </row>
    <row r="15" spans="2:12" s="1" customFormat="1" ht="13.35" customHeight="1" x14ac:dyDescent="0.2">
      <c r="B15" s="525"/>
      <c r="C15" s="646"/>
      <c r="D15" s="351" t="s">
        <v>256</v>
      </c>
      <c r="E15" s="549">
        <f t="shared" ref="E15:L15" si="1">E45</f>
        <v>911</v>
      </c>
      <c r="F15" s="550">
        <f t="shared" si="1"/>
        <v>52.253947999999994</v>
      </c>
      <c r="G15" s="549">
        <f t="shared" si="1"/>
        <v>1300</v>
      </c>
      <c r="H15" s="550">
        <f t="shared" si="1"/>
        <v>75.699080000000009</v>
      </c>
      <c r="I15" s="549">
        <f t="shared" si="1"/>
        <v>1230</v>
      </c>
      <c r="J15" s="550">
        <f t="shared" si="1"/>
        <v>71.433104</v>
      </c>
      <c r="K15" s="549">
        <f t="shared" si="1"/>
        <v>1503</v>
      </c>
      <c r="L15" s="550">
        <f t="shared" si="1"/>
        <v>75.264805999999993</v>
      </c>
    </row>
    <row r="16" spans="2:12" customFormat="1" ht="13.35" customHeight="1" x14ac:dyDescent="0.2">
      <c r="B16" s="525"/>
      <c r="C16" s="501" t="s">
        <v>8</v>
      </c>
      <c r="D16" s="529"/>
      <c r="E16" s="584"/>
      <c r="F16" s="346">
        <f t="shared" ref="F16:L16" si="2">SUM(F4:F15)</f>
        <v>15962.635747</v>
      </c>
      <c r="G16" s="584"/>
      <c r="H16" s="346">
        <f t="shared" si="2"/>
        <v>16761.443579999999</v>
      </c>
      <c r="I16" s="584"/>
      <c r="J16" s="346">
        <f t="shared" si="2"/>
        <v>44648.735728000007</v>
      </c>
      <c r="K16" s="584"/>
      <c r="L16" s="346">
        <f t="shared" si="2"/>
        <v>49457.805983999999</v>
      </c>
    </row>
    <row r="17" spans="2:12" ht="13.35" customHeight="1" x14ac:dyDescent="0.2">
      <c r="B17" s="340"/>
      <c r="C17" s="647">
        <v>3801</v>
      </c>
      <c r="D17" s="585" t="s">
        <v>258</v>
      </c>
      <c r="E17" s="549">
        <f t="shared" ref="E17:L17" si="3">SUM(E6:E12)+E4</f>
        <v>801688</v>
      </c>
      <c r="F17" s="550">
        <f t="shared" si="3"/>
        <v>4157.4356580000003</v>
      </c>
      <c r="G17" s="549">
        <f t="shared" si="3"/>
        <v>690954</v>
      </c>
      <c r="H17" s="550">
        <f t="shared" si="3"/>
        <v>4377.6105049999996</v>
      </c>
      <c r="I17" s="549">
        <f t="shared" si="3"/>
        <v>755459</v>
      </c>
      <c r="J17" s="550">
        <f t="shared" si="3"/>
        <v>4919.9736509999993</v>
      </c>
      <c r="K17" s="549">
        <f t="shared" si="3"/>
        <v>809512</v>
      </c>
      <c r="L17" s="550">
        <f t="shared" si="3"/>
        <v>5400.5504489999994</v>
      </c>
    </row>
    <row r="18" spans="2:12" customFormat="1" ht="13.35" customHeight="1" x14ac:dyDescent="0.2">
      <c r="B18" s="26"/>
      <c r="C18" s="102" t="s">
        <v>87</v>
      </c>
      <c r="D18" s="313"/>
      <c r="E18" s="80"/>
      <c r="F18" s="101"/>
      <c r="G18" s="80"/>
      <c r="H18" s="101"/>
      <c r="I18" s="80"/>
      <c r="J18" s="101"/>
      <c r="K18" s="80"/>
      <c r="L18" s="101"/>
    </row>
    <row r="19" spans="2:12" customFormat="1" ht="13.35" customHeight="1" x14ac:dyDescent="0.2">
      <c r="B19" s="48"/>
      <c r="C19" s="116">
        <v>3801</v>
      </c>
      <c r="D19" s="648" t="s">
        <v>257</v>
      </c>
      <c r="E19" s="551"/>
      <c r="F19" s="552">
        <f>A2.6.1!F4/A2.6.1!F$16</f>
        <v>1.5757042883552053E-2</v>
      </c>
      <c r="G19" s="551"/>
      <c r="H19" s="552">
        <f>A2.6.1!H4/A2.6.1!H$16</f>
        <v>0.26117144887349852</v>
      </c>
      <c r="I19" s="551"/>
      <c r="J19" s="552">
        <f>A2.6.1!J4/A2.6.1!J$16</f>
        <v>0.11019289954753629</v>
      </c>
      <c r="K19" s="551"/>
      <c r="L19" s="552">
        <f>A2.6.1!L4/A2.6.1!L$16</f>
        <v>0.10919510765898352</v>
      </c>
    </row>
    <row r="20" spans="2:12" s="21" customFormat="1" ht="13.35" customHeight="1" x14ac:dyDescent="0.2">
      <c r="B20" s="48"/>
      <c r="C20" s="116">
        <v>3802</v>
      </c>
      <c r="D20" s="649" t="s">
        <v>82</v>
      </c>
      <c r="E20" s="551"/>
      <c r="F20" s="552">
        <f>A2.6.1!F5/A2.6.1!F$16</f>
        <v>0.27017383102352138</v>
      </c>
      <c r="G20" s="551"/>
      <c r="H20" s="552">
        <f>A2.6.1!H5/A2.6.1!H$16</f>
        <v>0.25630599921155478</v>
      </c>
      <c r="I20" s="551"/>
      <c r="J20" s="552">
        <f>A2.6.1!J5/A2.6.1!J$16</f>
        <v>9.8267930714295612E-2</v>
      </c>
      <c r="K20" s="551"/>
      <c r="L20" s="552">
        <f>A2.6.1!L5/A2.6.1!L$16</f>
        <v>0.1202283772135718</v>
      </c>
    </row>
    <row r="21" spans="2:12" customFormat="1" ht="13.35" customHeight="1" x14ac:dyDescent="0.2">
      <c r="B21" s="48"/>
      <c r="C21" s="116">
        <v>3803</v>
      </c>
      <c r="D21" s="649" t="s">
        <v>78</v>
      </c>
      <c r="E21" s="551"/>
      <c r="F21" s="552">
        <f>A2.6.1!F6/A2.6.1!F$16</f>
        <v>2.1225882452631773E-3</v>
      </c>
      <c r="G21" s="551"/>
      <c r="H21" s="552">
        <f>A2.6.1!H6/A2.6.1!H$16</f>
        <v>0</v>
      </c>
      <c r="I21" s="551"/>
      <c r="J21" s="552">
        <f>A2.6.1!J6/A2.6.1!J$16</f>
        <v>0</v>
      </c>
      <c r="K21" s="551"/>
      <c r="L21" s="552">
        <f>A2.6.1!L6/A2.6.1!L$16</f>
        <v>0</v>
      </c>
    </row>
    <row r="22" spans="2:12" customFormat="1" ht="13.35" customHeight="1" x14ac:dyDescent="0.2">
      <c r="B22" s="48"/>
      <c r="C22" s="116">
        <v>3804</v>
      </c>
      <c r="D22" s="649" t="s">
        <v>94</v>
      </c>
      <c r="E22" s="551"/>
      <c r="F22" s="552">
        <f>A2.6.1!F7/A2.6.1!F$16</f>
        <v>2.0674388317231578E-3</v>
      </c>
      <c r="G22" s="551"/>
      <c r="H22" s="552">
        <f>A2.6.1!H7/A2.6.1!H$16</f>
        <v>0</v>
      </c>
      <c r="I22" s="551"/>
      <c r="J22" s="552">
        <f>A2.6.1!J7/A2.6.1!J$16</f>
        <v>0</v>
      </c>
      <c r="K22" s="551"/>
      <c r="L22" s="552">
        <f>A2.6.1!L7/A2.6.1!L$16</f>
        <v>0</v>
      </c>
    </row>
    <row r="23" spans="2:12" customFormat="1" ht="13.35" customHeight="1" x14ac:dyDescent="0.2">
      <c r="B23" s="48"/>
      <c r="C23" s="116">
        <v>3805</v>
      </c>
      <c r="D23" s="650" t="s">
        <v>83</v>
      </c>
      <c r="E23" s="551"/>
      <c r="F23" s="552">
        <f>A2.6.1!F8/A2.6.1!F$16</f>
        <v>7.4794982540673766E-2</v>
      </c>
      <c r="G23" s="551"/>
      <c r="H23" s="552">
        <f>A2.6.1!H8/A2.6.1!H$16</f>
        <v>0</v>
      </c>
      <c r="I23" s="551"/>
      <c r="J23" s="552">
        <f>A2.6.1!J8/A2.6.1!J$16</f>
        <v>0</v>
      </c>
      <c r="K23" s="551"/>
      <c r="L23" s="552">
        <f>A2.6.1!L8/A2.6.1!L$16</f>
        <v>0</v>
      </c>
    </row>
    <row r="24" spans="2:12" customFormat="1" ht="13.35" customHeight="1" x14ac:dyDescent="0.2">
      <c r="B24" s="48"/>
      <c r="C24" s="116">
        <v>3806</v>
      </c>
      <c r="D24" s="649" t="s">
        <v>79</v>
      </c>
      <c r="E24" s="551"/>
      <c r="F24" s="552">
        <f>A2.6.1!F9/A2.6.1!F$16</f>
        <v>2.2045314732320187E-2</v>
      </c>
      <c r="G24" s="551"/>
      <c r="H24" s="552">
        <f>A2.6.1!H9/A2.6.1!H$16</f>
        <v>0</v>
      </c>
      <c r="I24" s="551"/>
      <c r="J24" s="552">
        <f>A2.6.1!J9/A2.6.1!J$16</f>
        <v>0</v>
      </c>
      <c r="K24" s="551"/>
      <c r="L24" s="552">
        <f>A2.6.1!L9/A2.6.1!L$16</f>
        <v>0</v>
      </c>
    </row>
    <row r="25" spans="2:12" customFormat="1" ht="13.35" customHeight="1" x14ac:dyDescent="0.2">
      <c r="B25" s="48"/>
      <c r="C25" s="116">
        <v>3807</v>
      </c>
      <c r="D25" s="649" t="s">
        <v>84</v>
      </c>
      <c r="E25" s="551"/>
      <c r="F25" s="552">
        <f>A2.6.1!F10/A2.6.1!F$16</f>
        <v>1.929244937245889E-2</v>
      </c>
      <c r="G25" s="551"/>
      <c r="H25" s="552">
        <f>A2.6.1!H10/A2.6.1!H$16</f>
        <v>0</v>
      </c>
      <c r="I25" s="551"/>
      <c r="J25" s="552">
        <f>A2.6.1!J10/A2.6.1!J$16</f>
        <v>0</v>
      </c>
      <c r="K25" s="551"/>
      <c r="L25" s="552">
        <f>A2.6.1!L10/A2.6.1!L$16</f>
        <v>0</v>
      </c>
    </row>
    <row r="26" spans="2:12" customFormat="1" ht="13.35" customHeight="1" x14ac:dyDescent="0.2">
      <c r="B26" s="26"/>
      <c r="C26" s="116">
        <v>3808</v>
      </c>
      <c r="D26" s="649" t="s">
        <v>211</v>
      </c>
      <c r="E26" s="551"/>
      <c r="F26" s="552">
        <f>A2.6.1!F11/A2.6.1!F$16</f>
        <v>0.11934087535374743</v>
      </c>
      <c r="G26" s="551"/>
      <c r="H26" s="552">
        <f>A2.6.1!H11/A2.6.1!H$16</f>
        <v>0</v>
      </c>
      <c r="I26" s="551"/>
      <c r="J26" s="552">
        <f>A2.6.1!J11/A2.6.1!J$16</f>
        <v>0</v>
      </c>
      <c r="K26" s="551"/>
      <c r="L26" s="552">
        <f>A2.6.1!L11/A2.6.1!L$16</f>
        <v>0</v>
      </c>
    </row>
    <row r="27" spans="2:12" customFormat="1" ht="13.35" customHeight="1" x14ac:dyDescent="0.2">
      <c r="B27" s="26"/>
      <c r="C27" s="116">
        <v>3809</v>
      </c>
      <c r="D27" s="649" t="s">
        <v>95</v>
      </c>
      <c r="E27" s="551"/>
      <c r="F27" s="552">
        <f>A2.6.1!F12/A2.6.1!F$16</f>
        <v>5.0272518443629684E-3</v>
      </c>
      <c r="G27" s="551"/>
      <c r="H27" s="552">
        <f>A2.6.1!H12/A2.6.1!H$16</f>
        <v>0</v>
      </c>
      <c r="I27" s="551"/>
      <c r="J27" s="552">
        <f>A2.6.1!J12/A2.6.1!J$16</f>
        <v>0</v>
      </c>
      <c r="K27" s="551"/>
      <c r="L27" s="552">
        <f>A2.6.1!L12/A2.6.1!L$16</f>
        <v>0</v>
      </c>
    </row>
    <row r="28" spans="2:12" customFormat="1" ht="13.35" customHeight="1" x14ac:dyDescent="0.2">
      <c r="B28" s="26"/>
      <c r="C28" s="116">
        <v>3810</v>
      </c>
      <c r="D28" s="649" t="s">
        <v>160</v>
      </c>
      <c r="E28" s="551"/>
      <c r="F28" s="552">
        <f>A2.6.1!F13/A2.6.1!F$16</f>
        <v>0.46554893795635516</v>
      </c>
      <c r="G28" s="551"/>
      <c r="H28" s="552">
        <f>A2.6.1!H13/A2.6.1!H$16</f>
        <v>0.47700336106730495</v>
      </c>
      <c r="I28" s="551"/>
      <c r="J28" s="552">
        <f>A2.6.1!J13/A2.6.1!J$16</f>
        <v>0.78966268238339921</v>
      </c>
      <c r="K28" s="551"/>
      <c r="L28" s="552">
        <f>A2.6.1!L13/A2.6.1!L$16</f>
        <v>0.76872425279640566</v>
      </c>
    </row>
    <row r="29" spans="2:12" customFormat="1" ht="13.35" customHeight="1" x14ac:dyDescent="0.2">
      <c r="B29" s="26"/>
      <c r="C29" s="116"/>
      <c r="D29" s="651" t="s">
        <v>0</v>
      </c>
      <c r="E29" s="551"/>
      <c r="F29" s="552">
        <f>A2.6.1!F14/A2.6.1!F$16</f>
        <v>5.5577093536493885E-4</v>
      </c>
      <c r="G29" s="551"/>
      <c r="H29" s="552">
        <f>A2.6.1!H14/A2.6.1!H$16</f>
        <v>1.0029282931249767E-3</v>
      </c>
      <c r="I29" s="551"/>
      <c r="J29" s="552">
        <f>A2.6.1!J14/A2.6.1!J$16</f>
        <v>2.7659649928800324E-4</v>
      </c>
      <c r="K29" s="551"/>
      <c r="L29" s="552">
        <f>A2.6.1!L14/A2.6.1!L$16</f>
        <v>3.3046401219834583E-4</v>
      </c>
    </row>
    <row r="30" spans="2:12" customFormat="1" ht="13.35" customHeight="1" x14ac:dyDescent="0.2">
      <c r="B30" s="525"/>
      <c r="C30" s="646"/>
      <c r="D30" s="351" t="s">
        <v>256</v>
      </c>
      <c r="E30" s="553"/>
      <c r="F30" s="554">
        <f>A2.6.1!F15/A2.6.1!F$16</f>
        <v>3.2735162806568799E-3</v>
      </c>
      <c r="G30" s="553"/>
      <c r="H30" s="554">
        <f>A2.6.1!H15/A2.6.1!H$16</f>
        <v>4.5162625545167997E-3</v>
      </c>
      <c r="I30" s="553"/>
      <c r="J30" s="554">
        <f>A2.6.1!J15/A2.6.1!J$16</f>
        <v>1.5998908554806636E-3</v>
      </c>
      <c r="K30" s="553"/>
      <c r="L30" s="554">
        <f>A2.6.1!L15/A2.6.1!L$16</f>
        <v>1.5217983188406854E-3</v>
      </c>
    </row>
    <row r="31" spans="2:12" customFormat="1" ht="13.35" customHeight="1" x14ac:dyDescent="0.2">
      <c r="B31" s="525"/>
      <c r="C31" s="501" t="s">
        <v>8</v>
      </c>
      <c r="D31" s="529"/>
      <c r="E31" s="555"/>
      <c r="F31" s="556">
        <f t="shared" ref="F31:L31" si="4">SUM(F19:F30)</f>
        <v>1.0000000000000002</v>
      </c>
      <c r="G31" s="555"/>
      <c r="H31" s="556">
        <f t="shared" si="4"/>
        <v>1</v>
      </c>
      <c r="I31" s="555"/>
      <c r="J31" s="556">
        <f t="shared" si="4"/>
        <v>0.99999999999999978</v>
      </c>
      <c r="K31" s="555"/>
      <c r="L31" s="556">
        <f t="shared" si="4"/>
        <v>1</v>
      </c>
    </row>
    <row r="32" spans="2:12" customFormat="1" ht="13.35" customHeight="1" x14ac:dyDescent="0.2">
      <c r="B32" s="340"/>
      <c r="C32" s="647">
        <v>3801</v>
      </c>
      <c r="D32" s="585" t="s">
        <v>258</v>
      </c>
      <c r="E32" s="553"/>
      <c r="F32" s="554">
        <f>A2.6.1!F17/A2.6.1!F$16</f>
        <v>0.26044794380410163</v>
      </c>
      <c r="G32" s="553"/>
      <c r="H32" s="554">
        <f>A2.6.1!H17/A2.6.1!H$16</f>
        <v>0.26117144887349852</v>
      </c>
      <c r="I32" s="553"/>
      <c r="J32" s="554">
        <f>A2.6.1!J17/A2.6.1!J$16</f>
        <v>0.11019289954753629</v>
      </c>
      <c r="K32" s="553"/>
      <c r="L32" s="554">
        <f>A2.6.1!L17/A2.6.1!L$16</f>
        <v>0.10919510765898352</v>
      </c>
    </row>
    <row r="33" spans="2:12" customFormat="1" ht="12" customHeight="1" x14ac:dyDescent="0.2">
      <c r="B33" s="27"/>
      <c r="C33" s="29" t="s">
        <v>570</v>
      </c>
      <c r="D33" s="117"/>
      <c r="E33" s="56"/>
      <c r="F33" s="56"/>
      <c r="G33" s="56"/>
      <c r="H33" s="56"/>
      <c r="I33" s="56"/>
      <c r="J33" s="56"/>
      <c r="K33" s="56"/>
      <c r="L33" s="56"/>
    </row>
    <row r="34" spans="2:12" customFormat="1" ht="12" customHeight="1" x14ac:dyDescent="0.2">
      <c r="B34" s="1"/>
      <c r="C34" s="29" t="s">
        <v>254</v>
      </c>
      <c r="D34" s="1"/>
      <c r="E34" s="1"/>
      <c r="F34" s="1"/>
      <c r="G34" s="1"/>
      <c r="H34" s="1"/>
      <c r="I34" s="1"/>
      <c r="J34" s="1"/>
      <c r="K34" s="1"/>
      <c r="L34" s="1"/>
    </row>
    <row r="35" spans="2:12" s="1" customFormat="1" ht="12" customHeight="1" x14ac:dyDescent="0.2">
      <c r="C35" s="29" t="s">
        <v>255</v>
      </c>
      <c r="G35" s="147"/>
      <c r="H35" s="147"/>
      <c r="I35" s="147"/>
      <c r="J35" s="147"/>
      <c r="K35" s="147"/>
      <c r="L35" s="147"/>
    </row>
    <row r="36" spans="2:12" customFormat="1" ht="13.35" customHeight="1" x14ac:dyDescent="0.2">
      <c r="I36" s="1"/>
    </row>
    <row r="37" spans="2:12" customFormat="1" ht="13.35" customHeight="1" x14ac:dyDescent="0.2">
      <c r="F37" s="352" t="s">
        <v>371</v>
      </c>
      <c r="I37" s="1"/>
    </row>
    <row r="38" spans="2:12" customFormat="1" ht="13.35" customHeight="1" x14ac:dyDescent="0.2">
      <c r="C38" s="2"/>
      <c r="D38" s="2"/>
      <c r="E38" s="2"/>
      <c r="F38" s="2"/>
      <c r="G38" s="14"/>
      <c r="H38" s="6"/>
      <c r="I38" s="6"/>
      <c r="J38" s="6"/>
      <c r="K38" s="6"/>
      <c r="L38" s="6"/>
    </row>
    <row r="39" spans="2:12" customFormat="1" ht="13.35" customHeight="1" x14ac:dyDescent="0.2">
      <c r="C39" s="2"/>
      <c r="D39" s="2"/>
      <c r="E39" s="2"/>
      <c r="F39" s="2"/>
      <c r="G39" s="14"/>
      <c r="H39" s="6"/>
      <c r="I39" s="6"/>
      <c r="J39" s="6"/>
      <c r="K39" s="6"/>
      <c r="L39" s="6"/>
    </row>
    <row r="40" spans="2:12" customFormat="1" ht="13.35" hidden="1" customHeight="1" x14ac:dyDescent="0.2">
      <c r="C40" s="2"/>
      <c r="D40" s="202" t="s">
        <v>4</v>
      </c>
      <c r="E40" s="84">
        <f t="shared" ref="E40:L40" si="5">SUM(E41:E43)</f>
        <v>1473</v>
      </c>
      <c r="F40" s="84">
        <f t="shared" si="5"/>
        <v>8.8715689999999991</v>
      </c>
      <c r="G40" s="84">
        <f t="shared" si="5"/>
        <v>2183</v>
      </c>
      <c r="H40" s="84">
        <f t="shared" si="5"/>
        <v>16.810525999999999</v>
      </c>
      <c r="I40" s="84">
        <f t="shared" si="5"/>
        <v>2335</v>
      </c>
      <c r="J40" s="84">
        <f t="shared" si="5"/>
        <v>12.349684</v>
      </c>
      <c r="K40" s="84">
        <f t="shared" si="5"/>
        <v>3469</v>
      </c>
      <c r="L40" s="107">
        <f t="shared" si="5"/>
        <v>16.344024999999998</v>
      </c>
    </row>
    <row r="41" spans="2:12" customFormat="1" ht="13.35" hidden="1" customHeight="1" x14ac:dyDescent="0.2">
      <c r="C41" s="2"/>
      <c r="D41" s="203" t="s">
        <v>259</v>
      </c>
      <c r="E41" s="198">
        <v>0</v>
      </c>
      <c r="F41" s="198">
        <v>0</v>
      </c>
      <c r="G41" s="198">
        <v>1</v>
      </c>
      <c r="H41" s="198">
        <v>3.8379999999999997E-2</v>
      </c>
      <c r="I41" s="198">
        <v>0</v>
      </c>
      <c r="J41" s="198">
        <v>0</v>
      </c>
      <c r="K41" s="198">
        <v>0</v>
      </c>
      <c r="L41" s="199">
        <v>0</v>
      </c>
    </row>
    <row r="42" spans="2:12" customFormat="1" ht="13.35" hidden="1" customHeight="1" x14ac:dyDescent="0.2">
      <c r="C42" s="2"/>
      <c r="D42" s="203" t="s">
        <v>260</v>
      </c>
      <c r="E42" s="198">
        <v>1472</v>
      </c>
      <c r="F42" s="198">
        <v>8.87087</v>
      </c>
      <c r="G42" s="198">
        <v>2182</v>
      </c>
      <c r="H42" s="198">
        <v>16.772145999999999</v>
      </c>
      <c r="I42" s="198">
        <v>2335</v>
      </c>
      <c r="J42" s="198">
        <v>12.349684</v>
      </c>
      <c r="K42" s="198">
        <v>3469</v>
      </c>
      <c r="L42" s="199">
        <v>16.344024999999998</v>
      </c>
    </row>
    <row r="43" spans="2:12" customFormat="1" ht="13.35" hidden="1" customHeight="1" x14ac:dyDescent="0.2">
      <c r="C43" s="2"/>
      <c r="D43" s="204" t="s">
        <v>428</v>
      </c>
      <c r="E43" s="200">
        <v>1</v>
      </c>
      <c r="F43" s="200">
        <v>6.9899999999999997E-4</v>
      </c>
      <c r="G43" s="200">
        <v>0</v>
      </c>
      <c r="H43" s="200">
        <v>0</v>
      </c>
      <c r="I43" s="200">
        <v>0</v>
      </c>
      <c r="J43" s="200">
        <v>0</v>
      </c>
      <c r="K43" s="200">
        <v>0</v>
      </c>
      <c r="L43" s="201">
        <v>0</v>
      </c>
    </row>
    <row r="44" spans="2:12" customFormat="1" ht="13.35" hidden="1" customHeight="1" x14ac:dyDescent="0.2">
      <c r="C44" s="2"/>
      <c r="D44" s="2"/>
      <c r="E44" s="2"/>
      <c r="F44" s="2"/>
      <c r="G44" s="14"/>
      <c r="H44" s="6"/>
      <c r="I44" s="6"/>
      <c r="J44" s="6"/>
      <c r="K44" s="6"/>
      <c r="L44" s="6"/>
    </row>
    <row r="45" spans="2:12" customFormat="1" ht="13.35" hidden="1" customHeight="1" x14ac:dyDescent="0.2">
      <c r="C45" s="2"/>
      <c r="D45" s="202" t="s">
        <v>272</v>
      </c>
      <c r="E45" s="84">
        <f t="shared" ref="E45:L45" si="6">SUM(E46:E56)</f>
        <v>911</v>
      </c>
      <c r="F45" s="84">
        <f t="shared" si="6"/>
        <v>52.253947999999994</v>
      </c>
      <c r="G45" s="84">
        <f t="shared" si="6"/>
        <v>1300</v>
      </c>
      <c r="H45" s="84">
        <f t="shared" si="6"/>
        <v>75.699080000000009</v>
      </c>
      <c r="I45" s="84">
        <f t="shared" si="6"/>
        <v>1230</v>
      </c>
      <c r="J45" s="84">
        <f t="shared" si="6"/>
        <v>71.433104</v>
      </c>
      <c r="K45" s="84">
        <f t="shared" si="6"/>
        <v>1503</v>
      </c>
      <c r="L45" s="107">
        <f t="shared" si="6"/>
        <v>75.264805999999993</v>
      </c>
    </row>
    <row r="46" spans="2:12" customFormat="1" ht="13.35" hidden="1" customHeight="1" x14ac:dyDescent="0.2">
      <c r="C46" s="2"/>
      <c r="D46" s="203" t="s">
        <v>261</v>
      </c>
      <c r="E46" s="198">
        <v>10</v>
      </c>
      <c r="F46" s="198">
        <v>0.12967899999999999</v>
      </c>
      <c r="G46" s="198">
        <v>437</v>
      </c>
      <c r="H46" s="198">
        <v>65.143063999999995</v>
      </c>
      <c r="I46" s="198">
        <v>445</v>
      </c>
      <c r="J46" s="198">
        <v>54.564822999999997</v>
      </c>
      <c r="K46" s="198">
        <v>689</v>
      </c>
      <c r="L46" s="199">
        <v>53.339711000000001</v>
      </c>
    </row>
    <row r="47" spans="2:12" customFormat="1" ht="13.35" hidden="1" customHeight="1" x14ac:dyDescent="0.2">
      <c r="C47" s="2"/>
      <c r="D47" s="203" t="s">
        <v>262</v>
      </c>
      <c r="E47" s="198">
        <v>116</v>
      </c>
      <c r="F47" s="198">
        <v>17.643153999999999</v>
      </c>
      <c r="G47" s="198">
        <v>114</v>
      </c>
      <c r="H47" s="198">
        <v>5.4372069999999999</v>
      </c>
      <c r="I47" s="198">
        <v>56</v>
      </c>
      <c r="J47" s="198">
        <v>2.7234820000000002</v>
      </c>
      <c r="K47" s="198">
        <v>38</v>
      </c>
      <c r="L47" s="199">
        <v>2.8280430000000001</v>
      </c>
    </row>
    <row r="48" spans="2:12" customFormat="1" ht="13.35" hidden="1" customHeight="1" x14ac:dyDescent="0.2">
      <c r="C48" s="2"/>
      <c r="D48" s="203" t="s">
        <v>263</v>
      </c>
      <c r="E48" s="198">
        <v>7</v>
      </c>
      <c r="F48" s="198">
        <v>7.5026999999999996E-2</v>
      </c>
      <c r="G48" s="198">
        <v>0</v>
      </c>
      <c r="H48" s="198">
        <v>0</v>
      </c>
      <c r="I48" s="198">
        <v>0</v>
      </c>
      <c r="J48" s="198">
        <v>0</v>
      </c>
      <c r="K48" s="198">
        <v>0</v>
      </c>
      <c r="L48" s="199">
        <v>0</v>
      </c>
    </row>
    <row r="49" spans="3:12" customFormat="1" ht="13.35" hidden="1" customHeight="1" x14ac:dyDescent="0.2">
      <c r="C49" s="2"/>
      <c r="D49" s="203" t="s">
        <v>264</v>
      </c>
      <c r="E49" s="198">
        <v>3</v>
      </c>
      <c r="F49" s="198">
        <v>1.4499999999999999E-3</v>
      </c>
      <c r="G49" s="198">
        <v>0</v>
      </c>
      <c r="H49" s="198">
        <v>0</v>
      </c>
      <c r="I49" s="198">
        <v>0</v>
      </c>
      <c r="J49" s="198">
        <v>0</v>
      </c>
      <c r="K49" s="198">
        <v>0</v>
      </c>
      <c r="L49" s="199">
        <v>0</v>
      </c>
    </row>
    <row r="50" spans="3:12" customFormat="1" ht="13.35" hidden="1" customHeight="1" x14ac:dyDescent="0.2">
      <c r="C50" s="2"/>
      <c r="D50" s="203" t="s">
        <v>265</v>
      </c>
      <c r="E50" s="198">
        <v>57</v>
      </c>
      <c r="F50" s="198">
        <v>11.723254000000001</v>
      </c>
      <c r="G50" s="198">
        <v>0</v>
      </c>
      <c r="H50" s="198">
        <v>0</v>
      </c>
      <c r="I50" s="198">
        <v>0</v>
      </c>
      <c r="J50" s="198">
        <v>0</v>
      </c>
      <c r="K50" s="198">
        <v>1</v>
      </c>
      <c r="L50" s="199">
        <v>4.5999999999999999E-2</v>
      </c>
    </row>
    <row r="51" spans="3:12" customFormat="1" ht="13.35" hidden="1" customHeight="1" x14ac:dyDescent="0.2">
      <c r="C51" s="2"/>
      <c r="D51" s="203" t="s">
        <v>266</v>
      </c>
      <c r="E51" s="198">
        <v>53</v>
      </c>
      <c r="F51" s="198">
        <v>0.695438</v>
      </c>
      <c r="G51" s="198">
        <v>0</v>
      </c>
      <c r="H51" s="198">
        <v>0</v>
      </c>
      <c r="I51" s="198">
        <v>0</v>
      </c>
      <c r="J51" s="198">
        <v>0</v>
      </c>
      <c r="K51" s="198">
        <v>0</v>
      </c>
      <c r="L51" s="199">
        <v>0</v>
      </c>
    </row>
    <row r="52" spans="3:12" customFormat="1" ht="13.35" hidden="1" customHeight="1" x14ac:dyDescent="0.2">
      <c r="C52" s="2"/>
      <c r="D52" s="203" t="s">
        <v>267</v>
      </c>
      <c r="E52" s="198">
        <v>19</v>
      </c>
      <c r="F52" s="198">
        <v>0.21638499999999999</v>
      </c>
      <c r="G52" s="198">
        <v>2</v>
      </c>
      <c r="H52" s="198">
        <v>2.3857E-2</v>
      </c>
      <c r="I52" s="198">
        <v>2</v>
      </c>
      <c r="J52" s="198">
        <v>2.7293999999999999E-2</v>
      </c>
      <c r="K52" s="198">
        <v>0</v>
      </c>
      <c r="L52" s="199">
        <v>0</v>
      </c>
    </row>
    <row r="53" spans="3:12" customFormat="1" ht="13.35" hidden="1" customHeight="1" x14ac:dyDescent="0.2">
      <c r="C53" s="2"/>
      <c r="D53" s="203" t="s">
        <v>268</v>
      </c>
      <c r="E53" s="198">
        <v>143</v>
      </c>
      <c r="F53" s="198">
        <v>16.402866</v>
      </c>
      <c r="G53" s="198">
        <v>1</v>
      </c>
      <c r="H53" s="198">
        <v>8.2100000000000003E-3</v>
      </c>
      <c r="I53" s="198">
        <v>0</v>
      </c>
      <c r="J53" s="198">
        <v>0</v>
      </c>
      <c r="K53" s="198">
        <v>0</v>
      </c>
      <c r="L53" s="199">
        <v>0</v>
      </c>
    </row>
    <row r="54" spans="3:12" customFormat="1" ht="13.35" hidden="1" customHeight="1" x14ac:dyDescent="0.2">
      <c r="C54" s="2"/>
      <c r="D54" s="203" t="s">
        <v>269</v>
      </c>
      <c r="E54" s="198">
        <v>0</v>
      </c>
      <c r="F54" s="198">
        <v>0</v>
      </c>
      <c r="G54" s="198">
        <v>0</v>
      </c>
      <c r="H54" s="198">
        <v>0</v>
      </c>
      <c r="I54" s="198">
        <v>0</v>
      </c>
      <c r="J54" s="198">
        <v>0</v>
      </c>
      <c r="K54" s="198">
        <v>0</v>
      </c>
      <c r="L54" s="199">
        <v>0</v>
      </c>
    </row>
    <row r="55" spans="3:12" customFormat="1" ht="13.35" hidden="1" customHeight="1" x14ac:dyDescent="0.2">
      <c r="C55" s="2"/>
      <c r="D55" s="203" t="s">
        <v>270</v>
      </c>
      <c r="E55" s="198">
        <v>501</v>
      </c>
      <c r="F55" s="198">
        <v>5.3543849999999997</v>
      </c>
      <c r="G55" s="198">
        <v>739</v>
      </c>
      <c r="H55" s="198">
        <v>5.0585300000000002</v>
      </c>
      <c r="I55" s="198">
        <v>723</v>
      </c>
      <c r="J55" s="198">
        <v>14.111214</v>
      </c>
      <c r="K55" s="198">
        <v>769</v>
      </c>
      <c r="L55" s="199">
        <v>18.981930999999999</v>
      </c>
    </row>
    <row r="56" spans="3:12" customFormat="1" ht="13.35" hidden="1" customHeight="1" x14ac:dyDescent="0.2">
      <c r="C56" s="2"/>
      <c r="D56" s="204" t="s">
        <v>271</v>
      </c>
      <c r="E56" s="200">
        <v>2</v>
      </c>
      <c r="F56" s="200">
        <v>1.231E-2</v>
      </c>
      <c r="G56" s="200">
        <v>7</v>
      </c>
      <c r="H56" s="200">
        <v>2.8212000000000001E-2</v>
      </c>
      <c r="I56" s="200">
        <v>4</v>
      </c>
      <c r="J56" s="200">
        <v>6.2909999999999997E-3</v>
      </c>
      <c r="K56" s="200">
        <v>6</v>
      </c>
      <c r="L56" s="201">
        <v>6.9121000000000002E-2</v>
      </c>
    </row>
    <row r="57" spans="3:12" customFormat="1" ht="13.35" customHeight="1" x14ac:dyDescent="0.2">
      <c r="C57" s="2"/>
      <c r="D57" s="2"/>
      <c r="E57" s="2"/>
      <c r="F57" s="2"/>
      <c r="G57" s="14"/>
      <c r="H57" s="6"/>
      <c r="I57" s="6"/>
      <c r="J57" s="6"/>
      <c r="K57" s="6"/>
      <c r="L57" s="6"/>
    </row>
  </sheetData>
  <mergeCells count="1">
    <mergeCell ref="K2:L2"/>
  </mergeCells>
  <phoneticPr fontId="10" type="noConversion"/>
  <hyperlinks>
    <hyperlink ref="F37" location="CONTENTS!A1" display="BACK TO CONTENTS"/>
  </hyperlinks>
  <pageMargins left="0.98425196850393704" right="0.98425196850393704" top="0.98425196850393704" bottom="0.98425196850393704"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pageSetUpPr fitToPage="1"/>
  </sheetPr>
  <dimension ref="A1:J34"/>
  <sheetViews>
    <sheetView showGridLines="0" zoomScaleNormal="100" zoomScaleSheetLayoutView="90" workbookViewId="0"/>
  </sheetViews>
  <sheetFormatPr defaultColWidth="9.140625" defaultRowHeight="12.75" x14ac:dyDescent="0.2"/>
  <cols>
    <col min="1" max="1" width="3.7109375" style="216" customWidth="1"/>
    <col min="2" max="2" width="0.85546875" style="218" customWidth="1"/>
    <col min="3" max="10" width="10.7109375" style="218" customWidth="1"/>
    <col min="11" max="16384" width="9.140625" style="215"/>
  </cols>
  <sheetData>
    <row r="1" spans="1:10" s="214" customFormat="1" ht="15" customHeight="1" x14ac:dyDescent="0.2">
      <c r="B1" s="419" t="s">
        <v>546</v>
      </c>
      <c r="C1" s="307"/>
      <c r="D1" s="227"/>
      <c r="E1" s="227"/>
      <c r="F1" s="227"/>
      <c r="G1" s="227"/>
      <c r="H1" s="227"/>
      <c r="I1" s="227"/>
      <c r="J1" s="227"/>
    </row>
    <row r="2" spans="1:10" s="216" customFormat="1" ht="12.6" customHeight="1" x14ac:dyDescent="0.2">
      <c r="A2" s="308"/>
      <c r="B2" s="420"/>
      <c r="C2" s="421" t="s">
        <v>305</v>
      </c>
      <c r="D2" s="978" t="s">
        <v>306</v>
      </c>
      <c r="E2" s="981" t="s">
        <v>307</v>
      </c>
      <c r="F2" s="978" t="s">
        <v>308</v>
      </c>
      <c r="G2" s="981" t="s">
        <v>307</v>
      </c>
      <c r="H2" s="978" t="s">
        <v>309</v>
      </c>
      <c r="I2" s="981" t="s">
        <v>307</v>
      </c>
      <c r="J2" s="984" t="s">
        <v>8</v>
      </c>
    </row>
    <row r="3" spans="1:10" s="216" customFormat="1" ht="12.6" customHeight="1" x14ac:dyDescent="0.2">
      <c r="A3" s="310"/>
      <c r="B3" s="422"/>
      <c r="C3" s="987" t="s">
        <v>310</v>
      </c>
      <c r="D3" s="979"/>
      <c r="E3" s="982"/>
      <c r="F3" s="979"/>
      <c r="G3" s="982"/>
      <c r="H3" s="979"/>
      <c r="I3" s="982"/>
      <c r="J3" s="985"/>
    </row>
    <row r="4" spans="1:10" s="216" customFormat="1" ht="12.6" customHeight="1" x14ac:dyDescent="0.2">
      <c r="A4" s="310"/>
      <c r="B4" s="423"/>
      <c r="C4" s="988"/>
      <c r="D4" s="980"/>
      <c r="E4" s="983"/>
      <c r="F4" s="980"/>
      <c r="G4" s="983"/>
      <c r="H4" s="980"/>
      <c r="I4" s="983"/>
      <c r="J4" s="986"/>
    </row>
    <row r="5" spans="1:10" s="216" customFormat="1" ht="13.35" hidden="1" customHeight="1" x14ac:dyDescent="0.2">
      <c r="A5" s="309"/>
      <c r="B5" s="415"/>
      <c r="C5" s="512" t="s">
        <v>300</v>
      </c>
      <c r="D5" s="513">
        <v>3432.3714577600003</v>
      </c>
      <c r="E5" s="514"/>
      <c r="F5" s="513">
        <v>4550.5827352900014</v>
      </c>
      <c r="G5" s="514"/>
      <c r="H5" s="513">
        <v>4607.5897789299979</v>
      </c>
      <c r="I5" s="514"/>
      <c r="J5" s="515">
        <f t="shared" ref="J5:J8" si="0">D5+F5+H5</f>
        <v>12590.54397198</v>
      </c>
    </row>
    <row r="6" spans="1:10" s="216" customFormat="1" ht="13.35" customHeight="1" x14ac:dyDescent="0.2">
      <c r="A6" s="309"/>
      <c r="B6" s="415"/>
      <c r="C6" s="411" t="s">
        <v>301</v>
      </c>
      <c r="D6" s="424">
        <v>4037.1062278900004</v>
      </c>
      <c r="E6" s="428">
        <f t="shared" ref="E6:E8" si="1">D6/D5-1</f>
        <v>0.17618570063645023</v>
      </c>
      <c r="F6" s="424">
        <v>6380.5534085999998</v>
      </c>
      <c r="G6" s="428">
        <f t="shared" ref="G6:G8" si="2">F6/F5-1</f>
        <v>0.40213985323648394</v>
      </c>
      <c r="H6" s="424">
        <v>6150.7080151099999</v>
      </c>
      <c r="I6" s="428">
        <f t="shared" ref="I6:I8" si="3">H6/H5-1</f>
        <v>0.33490790417942851</v>
      </c>
      <c r="J6" s="425">
        <f>D6+F6+H6</f>
        <v>16568.367651599998</v>
      </c>
    </row>
    <row r="7" spans="1:10" s="216" customFormat="1" ht="13.35" customHeight="1" x14ac:dyDescent="0.2">
      <c r="A7" s="309"/>
      <c r="B7" s="416"/>
      <c r="C7" s="412" t="s">
        <v>302</v>
      </c>
      <c r="D7" s="424">
        <v>4539.206135989999</v>
      </c>
      <c r="E7" s="428">
        <f t="shared" si="1"/>
        <v>0.12437124013019152</v>
      </c>
      <c r="F7" s="424">
        <v>8357.5448300700009</v>
      </c>
      <c r="G7" s="428">
        <f t="shared" si="2"/>
        <v>0.30984638711829016</v>
      </c>
      <c r="H7" s="424">
        <v>4749.59225186</v>
      </c>
      <c r="I7" s="428">
        <f t="shared" si="3"/>
        <v>-0.22779747629183178</v>
      </c>
      <c r="J7" s="425">
        <f t="shared" si="0"/>
        <v>17646.343217920003</v>
      </c>
    </row>
    <row r="8" spans="1:10" s="216" customFormat="1" ht="13.35" customHeight="1" x14ac:dyDescent="0.2">
      <c r="A8" s="309"/>
      <c r="B8" s="416"/>
      <c r="C8" s="412" t="s">
        <v>303</v>
      </c>
      <c r="D8" s="424">
        <v>5812.0958622299995</v>
      </c>
      <c r="E8" s="428">
        <f t="shared" si="1"/>
        <v>0.28042122082706067</v>
      </c>
      <c r="F8" s="424">
        <v>7847.4613049899999</v>
      </c>
      <c r="G8" s="428">
        <f t="shared" si="2"/>
        <v>-6.103269984801607E-2</v>
      </c>
      <c r="H8" s="424">
        <v>1559.5771308200001</v>
      </c>
      <c r="I8" s="428">
        <f t="shared" si="3"/>
        <v>-0.67163978545542513</v>
      </c>
      <c r="J8" s="425">
        <f t="shared" si="0"/>
        <v>15219.134298039999</v>
      </c>
    </row>
    <row r="9" spans="1:10" s="216" customFormat="1" ht="13.35" customHeight="1" x14ac:dyDescent="0.2">
      <c r="A9" s="309"/>
      <c r="B9" s="416"/>
      <c r="C9" s="412" t="s">
        <v>349</v>
      </c>
      <c r="D9" s="424">
        <v>5812.3722276500012</v>
      </c>
      <c r="E9" s="428">
        <f t="shared" ref="E9" si="4">D9/D8-1</f>
        <v>4.7550045035871236E-5</v>
      </c>
      <c r="F9" s="424">
        <v>8597.4530099999993</v>
      </c>
      <c r="G9" s="428">
        <f t="shared" ref="G9" si="5">F9/F8-1</f>
        <v>9.5571252391279504E-2</v>
      </c>
      <c r="H9" s="424">
        <v>1164.62742196</v>
      </c>
      <c r="I9" s="428">
        <f t="shared" ref="I9" si="6">H9/H8-1</f>
        <v>-0.25324153647491743</v>
      </c>
      <c r="J9" s="425">
        <f t="shared" ref="J9" si="7">D9+F9+H9</f>
        <v>15574.45265961</v>
      </c>
    </row>
    <row r="10" spans="1:10" s="216" customFormat="1" ht="13.35" customHeight="1" x14ac:dyDescent="0.2">
      <c r="A10" s="309"/>
      <c r="B10" s="417"/>
      <c r="C10" s="413" t="s">
        <v>392</v>
      </c>
      <c r="D10" s="488">
        <v>6137.592276620001</v>
      </c>
      <c r="E10" s="431">
        <f t="shared" ref="E10" si="8">D10/D9-1</f>
        <v>5.5953066361252191E-2</v>
      </c>
      <c r="F10" s="488">
        <v>9718.1169143499992</v>
      </c>
      <c r="G10" s="431">
        <f t="shared" ref="G10" si="9">F10/F9-1</f>
        <v>0.13034836050240894</v>
      </c>
      <c r="H10" s="488">
        <v>1068.6209374599998</v>
      </c>
      <c r="I10" s="431">
        <f t="shared" ref="I10" si="10">H10/H9-1</f>
        <v>-8.2435363181150967E-2</v>
      </c>
      <c r="J10" s="426">
        <f t="shared" ref="J10" si="11">D10+F10+H10</f>
        <v>16924.33012843</v>
      </c>
    </row>
    <row r="11" spans="1:10" s="216" customFormat="1" ht="13.35" customHeight="1" x14ac:dyDescent="0.2">
      <c r="A11" s="308"/>
      <c r="B11" s="418"/>
      <c r="C11" s="414" t="s">
        <v>87</v>
      </c>
      <c r="D11" s="326"/>
      <c r="E11" s="217"/>
      <c r="F11" s="326"/>
      <c r="G11" s="217"/>
      <c r="H11" s="326"/>
      <c r="I11" s="217"/>
      <c r="J11" s="217"/>
    </row>
    <row r="12" spans="1:10" s="216" customFormat="1" ht="13.35" hidden="1" customHeight="1" x14ac:dyDescent="0.2">
      <c r="A12" s="309"/>
      <c r="B12" s="415"/>
      <c r="C12" s="512" t="s">
        <v>300</v>
      </c>
      <c r="D12" s="516">
        <f t="shared" ref="D12:D17" si="12">D5/$J5</f>
        <v>0.27261502484711331</v>
      </c>
      <c r="E12" s="514"/>
      <c r="F12" s="516">
        <f t="shared" ref="F12:F17" si="13">F5/$J5</f>
        <v>0.36142860430949059</v>
      </c>
      <c r="G12" s="514"/>
      <c r="H12" s="516">
        <f t="shared" ref="H12:H17" si="14">H5/$J5</f>
        <v>0.36595637084339611</v>
      </c>
      <c r="I12" s="514"/>
      <c r="J12" s="517">
        <f t="shared" ref="J12:J17" si="15">J5/$J5</f>
        <v>1</v>
      </c>
    </row>
    <row r="13" spans="1:10" s="216" customFormat="1" ht="13.35" customHeight="1" x14ac:dyDescent="0.2">
      <c r="A13" s="309"/>
      <c r="B13" s="415"/>
      <c r="C13" s="411" t="s">
        <v>301</v>
      </c>
      <c r="D13" s="427">
        <f t="shared" si="12"/>
        <v>0.24366348651734193</v>
      </c>
      <c r="E13" s="428"/>
      <c r="F13" s="427">
        <f t="shared" si="13"/>
        <v>0.38510452826557318</v>
      </c>
      <c r="G13" s="428"/>
      <c r="H13" s="427">
        <f t="shared" si="14"/>
        <v>0.371231985217085</v>
      </c>
      <c r="I13" s="428"/>
      <c r="J13" s="429">
        <f t="shared" si="15"/>
        <v>1</v>
      </c>
    </row>
    <row r="14" spans="1:10" s="216" customFormat="1" ht="13.35" customHeight="1" x14ac:dyDescent="0.2">
      <c r="A14" s="309"/>
      <c r="B14" s="416"/>
      <c r="C14" s="412" t="s">
        <v>302</v>
      </c>
      <c r="D14" s="427">
        <f t="shared" si="12"/>
        <v>0.25723211205483065</v>
      </c>
      <c r="E14" s="428"/>
      <c r="F14" s="427">
        <f t="shared" si="13"/>
        <v>0.47361341252746614</v>
      </c>
      <c r="G14" s="428"/>
      <c r="H14" s="427">
        <f t="shared" si="14"/>
        <v>0.26915447541770304</v>
      </c>
      <c r="I14" s="428"/>
      <c r="J14" s="429">
        <f t="shared" si="15"/>
        <v>1</v>
      </c>
    </row>
    <row r="15" spans="1:10" s="216" customFormat="1" ht="13.35" customHeight="1" x14ac:dyDescent="0.2">
      <c r="A15" s="309"/>
      <c r="B15" s="416"/>
      <c r="C15" s="412" t="s">
        <v>303</v>
      </c>
      <c r="D15" s="427">
        <f t="shared" si="12"/>
        <v>0.38189398611053144</v>
      </c>
      <c r="E15" s="428"/>
      <c r="F15" s="427">
        <f t="shared" si="13"/>
        <v>0.51563125413780186</v>
      </c>
      <c r="G15" s="428"/>
      <c r="H15" s="427">
        <f t="shared" si="14"/>
        <v>0.10247475975166674</v>
      </c>
      <c r="I15" s="428"/>
      <c r="J15" s="429">
        <f t="shared" si="15"/>
        <v>1</v>
      </c>
    </row>
    <row r="16" spans="1:10" s="216" customFormat="1" ht="13.35" customHeight="1" x14ac:dyDescent="0.2">
      <c r="A16" s="309"/>
      <c r="B16" s="416"/>
      <c r="C16" s="412" t="s">
        <v>349</v>
      </c>
      <c r="D16" s="427">
        <f t="shared" si="12"/>
        <v>0.37319913288018874</v>
      </c>
      <c r="E16" s="428"/>
      <c r="F16" s="427">
        <f t="shared" si="13"/>
        <v>0.55202280284919414</v>
      </c>
      <c r="G16" s="428"/>
      <c r="H16" s="427">
        <f t="shared" si="14"/>
        <v>7.4778064270617103E-2</v>
      </c>
      <c r="I16" s="428"/>
      <c r="J16" s="429">
        <f t="shared" si="15"/>
        <v>1</v>
      </c>
    </row>
    <row r="17" spans="1:10" s="216" customFormat="1" ht="13.35" customHeight="1" x14ac:dyDescent="0.2">
      <c r="A17" s="309"/>
      <c r="B17" s="417"/>
      <c r="C17" s="413" t="s">
        <v>392</v>
      </c>
      <c r="D17" s="430">
        <f t="shared" si="12"/>
        <v>0.36264905198876313</v>
      </c>
      <c r="E17" s="431"/>
      <c r="F17" s="430">
        <f t="shared" si="13"/>
        <v>0.57420984113428597</v>
      </c>
      <c r="G17" s="431"/>
      <c r="H17" s="430">
        <f t="shared" si="14"/>
        <v>6.3141106876950959E-2</v>
      </c>
      <c r="I17" s="431"/>
      <c r="J17" s="432">
        <f t="shared" si="15"/>
        <v>1</v>
      </c>
    </row>
    <row r="19" spans="1:10" x14ac:dyDescent="0.2">
      <c r="F19" s="352" t="s">
        <v>371</v>
      </c>
    </row>
    <row r="21" spans="1:10" x14ac:dyDescent="0.2">
      <c r="B21" s="274"/>
      <c r="C21" s="274"/>
    </row>
    <row r="29" spans="1:10" hidden="1" x14ac:dyDescent="0.2">
      <c r="F29" s="767"/>
      <c r="G29" s="768" t="s">
        <v>488</v>
      </c>
      <c r="H29" s="769" t="s">
        <v>489</v>
      </c>
    </row>
    <row r="30" spans="1:10" hidden="1" x14ac:dyDescent="0.2">
      <c r="F30" s="763" t="s">
        <v>301</v>
      </c>
      <c r="G30" s="765">
        <v>195145.712</v>
      </c>
      <c r="H30" s="686">
        <f>J6/G30</f>
        <v>8.4902545291899612E-2</v>
      </c>
    </row>
    <row r="31" spans="1:10" hidden="1" x14ac:dyDescent="0.2">
      <c r="F31" s="763" t="s">
        <v>302</v>
      </c>
      <c r="G31" s="765">
        <v>205145.02100000004</v>
      </c>
      <c r="H31" s="686">
        <f>J7/G31</f>
        <v>8.6018871586066914E-2</v>
      </c>
    </row>
    <row r="32" spans="1:10" hidden="1" x14ac:dyDescent="0.2">
      <c r="F32" s="763" t="s">
        <v>303</v>
      </c>
      <c r="G32" s="765">
        <v>226925.02699999997</v>
      </c>
      <c r="H32" s="686">
        <f>J8/G32</f>
        <v>6.7066795140405561E-2</v>
      </c>
    </row>
    <row r="33" spans="6:8" hidden="1" x14ac:dyDescent="0.2">
      <c r="F33" s="763" t="s">
        <v>349</v>
      </c>
      <c r="G33" s="765">
        <v>250399.64</v>
      </c>
      <c r="H33" s="686">
        <f>J9/G33</f>
        <v>6.2198382791644587E-2</v>
      </c>
    </row>
    <row r="34" spans="6:8" hidden="1" x14ac:dyDescent="0.2">
      <c r="F34" s="764" t="s">
        <v>392</v>
      </c>
      <c r="G34" s="766">
        <v>275821.59930462006</v>
      </c>
      <c r="H34" s="689">
        <f>J10/G34</f>
        <v>6.1359698337977532E-2</v>
      </c>
    </row>
  </sheetData>
  <mergeCells count="8">
    <mergeCell ref="H2:H4"/>
    <mergeCell ref="I2:I4"/>
    <mergeCell ref="J2:J4"/>
    <mergeCell ref="C3:C4"/>
    <mergeCell ref="D2:D4"/>
    <mergeCell ref="E2:E4"/>
    <mergeCell ref="F2:F4"/>
    <mergeCell ref="G2:G4"/>
  </mergeCells>
  <hyperlinks>
    <hyperlink ref="F19"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theme="7" tint="0.79998168889431442"/>
    <pageSetUpPr fitToPage="1"/>
  </sheetPr>
  <dimension ref="B1:L35"/>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2:12" s="8" customFormat="1" ht="15" customHeight="1" x14ac:dyDescent="0.2">
      <c r="B1" s="474" t="s">
        <v>429</v>
      </c>
      <c r="C1" s="320"/>
      <c r="D1" s="320"/>
      <c r="E1" s="320"/>
      <c r="F1" s="320"/>
      <c r="G1" s="320"/>
      <c r="H1" s="320"/>
      <c r="I1" s="320"/>
      <c r="J1" s="320"/>
      <c r="K1" s="320"/>
      <c r="L1" s="320"/>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42" t="s">
        <v>90</v>
      </c>
      <c r="D3" s="1043"/>
      <c r="E3" s="623" t="s">
        <v>17</v>
      </c>
      <c r="F3" s="624" t="s">
        <v>104</v>
      </c>
      <c r="G3" s="623" t="s">
        <v>17</v>
      </c>
      <c r="H3" s="624" t="s">
        <v>104</v>
      </c>
      <c r="I3" s="623" t="s">
        <v>17</v>
      </c>
      <c r="J3" s="624" t="s">
        <v>104</v>
      </c>
      <c r="K3" s="623" t="s">
        <v>17</v>
      </c>
      <c r="L3" s="624" t="s">
        <v>104</v>
      </c>
    </row>
    <row r="4" spans="2:12" ht="13.35" customHeight="1" x14ac:dyDescent="0.2">
      <c r="B4" s="145"/>
      <c r="C4" s="16" t="s">
        <v>18</v>
      </c>
      <c r="D4" s="338" t="s">
        <v>43</v>
      </c>
      <c r="E4" s="629">
        <v>958</v>
      </c>
      <c r="F4" s="630">
        <v>4.5935269999999999</v>
      </c>
      <c r="G4" s="629">
        <v>983</v>
      </c>
      <c r="H4" s="630">
        <v>4.177079</v>
      </c>
      <c r="I4" s="629">
        <v>979</v>
      </c>
      <c r="J4" s="630">
        <v>4.0069039999999996</v>
      </c>
      <c r="K4" s="629">
        <v>975</v>
      </c>
      <c r="L4" s="630">
        <v>4.5506650000000004</v>
      </c>
    </row>
    <row r="5" spans="2:12" ht="13.35" customHeight="1" x14ac:dyDescent="0.2">
      <c r="B5" s="145"/>
      <c r="C5" s="16" t="s">
        <v>19</v>
      </c>
      <c r="D5" s="339" t="s">
        <v>129</v>
      </c>
      <c r="E5" s="629">
        <v>23</v>
      </c>
      <c r="F5" s="630">
        <v>4.2355999999999991E-2</v>
      </c>
      <c r="G5" s="629">
        <v>12</v>
      </c>
      <c r="H5" s="630">
        <v>9.6141000000000004E-2</v>
      </c>
      <c r="I5" s="629">
        <v>20</v>
      </c>
      <c r="J5" s="630">
        <v>4.5406000000000002E-2</v>
      </c>
      <c r="K5" s="629">
        <v>18</v>
      </c>
      <c r="L5" s="630">
        <v>0.24496200000000001</v>
      </c>
    </row>
    <row r="6" spans="2:12" ht="13.35" customHeight="1" x14ac:dyDescent="0.2">
      <c r="B6" s="145"/>
      <c r="C6" s="16" t="s">
        <v>20</v>
      </c>
      <c r="D6" s="338" t="s">
        <v>44</v>
      </c>
      <c r="E6" s="629">
        <v>4549</v>
      </c>
      <c r="F6" s="630">
        <v>2.3912580000000001</v>
      </c>
      <c r="G6" s="629">
        <v>4648</v>
      </c>
      <c r="H6" s="630">
        <v>3.2339329999999999</v>
      </c>
      <c r="I6" s="629">
        <v>4362</v>
      </c>
      <c r="J6" s="630">
        <v>2.8791199999999999</v>
      </c>
      <c r="K6" s="629">
        <v>4182</v>
      </c>
      <c r="L6" s="630">
        <v>2.2790140000000001</v>
      </c>
    </row>
    <row r="7" spans="2:12" ht="13.35" customHeight="1" x14ac:dyDescent="0.2">
      <c r="B7" s="145"/>
      <c r="C7" s="16" t="s">
        <v>21</v>
      </c>
      <c r="D7" s="338" t="s">
        <v>45</v>
      </c>
      <c r="E7" s="629">
        <v>4035</v>
      </c>
      <c r="F7" s="630">
        <v>3.2036509999999998</v>
      </c>
      <c r="G7" s="629">
        <v>3930</v>
      </c>
      <c r="H7" s="630">
        <v>6.2161719999999994</v>
      </c>
      <c r="I7" s="629">
        <v>4295</v>
      </c>
      <c r="J7" s="630">
        <v>3.6137000000000001</v>
      </c>
      <c r="K7" s="629">
        <v>4249</v>
      </c>
      <c r="L7" s="630">
        <v>2.7396729999999998</v>
      </c>
    </row>
    <row r="8" spans="2:12" ht="13.35" customHeight="1" x14ac:dyDescent="0.2">
      <c r="B8" s="145"/>
      <c r="C8" s="16" t="s">
        <v>22</v>
      </c>
      <c r="D8" s="338" t="s">
        <v>46</v>
      </c>
      <c r="E8" s="629">
        <v>5560</v>
      </c>
      <c r="F8" s="630">
        <v>4.1733760000000002</v>
      </c>
      <c r="G8" s="629">
        <v>5151</v>
      </c>
      <c r="H8" s="630">
        <v>5.4787860000000004</v>
      </c>
      <c r="I8" s="629">
        <v>5651</v>
      </c>
      <c r="J8" s="630">
        <v>10.460281</v>
      </c>
      <c r="K8" s="629">
        <v>5676</v>
      </c>
      <c r="L8" s="630">
        <v>4.4245709999999994</v>
      </c>
    </row>
    <row r="9" spans="2:12" ht="13.35" customHeight="1" x14ac:dyDescent="0.2">
      <c r="B9" s="145"/>
      <c r="C9" s="16" t="s">
        <v>23</v>
      </c>
      <c r="D9" s="338" t="s">
        <v>47</v>
      </c>
      <c r="E9" s="629">
        <v>8920</v>
      </c>
      <c r="F9" s="630">
        <v>6.4391340000000001</v>
      </c>
      <c r="G9" s="629">
        <v>7170</v>
      </c>
      <c r="H9" s="630">
        <v>6.417662</v>
      </c>
      <c r="I9" s="629">
        <v>7870</v>
      </c>
      <c r="J9" s="630">
        <v>8.2537420000000026</v>
      </c>
      <c r="K9" s="629">
        <v>7565</v>
      </c>
      <c r="L9" s="630">
        <v>9.4572900000000004</v>
      </c>
    </row>
    <row r="10" spans="2:12" s="50" customFormat="1" ht="13.35" customHeight="1" x14ac:dyDescent="0.2">
      <c r="B10" s="145"/>
      <c r="C10" s="16" t="s">
        <v>24</v>
      </c>
      <c r="D10" s="338" t="s">
        <v>48</v>
      </c>
      <c r="E10" s="629">
        <v>12967</v>
      </c>
      <c r="F10" s="630">
        <v>9.7385070000000002</v>
      </c>
      <c r="G10" s="629">
        <v>11582</v>
      </c>
      <c r="H10" s="630">
        <v>9.9108739999999997</v>
      </c>
      <c r="I10" s="629">
        <v>12050</v>
      </c>
      <c r="J10" s="630">
        <v>11.457592000000002</v>
      </c>
      <c r="K10" s="629">
        <v>11504</v>
      </c>
      <c r="L10" s="630">
        <v>13.258368999999998</v>
      </c>
    </row>
    <row r="11" spans="2:12" s="1" customFormat="1" ht="13.35" customHeight="1" x14ac:dyDescent="0.2">
      <c r="B11" s="631"/>
      <c r="C11" s="16" t="s">
        <v>25</v>
      </c>
      <c r="D11" s="338" t="s">
        <v>49</v>
      </c>
      <c r="E11" s="629">
        <v>19108</v>
      </c>
      <c r="F11" s="630">
        <v>16.843958000000001</v>
      </c>
      <c r="G11" s="629">
        <v>15684</v>
      </c>
      <c r="H11" s="630">
        <v>14.863654000000002</v>
      </c>
      <c r="I11" s="629">
        <v>16758</v>
      </c>
      <c r="J11" s="630">
        <v>16.198712</v>
      </c>
      <c r="K11" s="629">
        <v>15560</v>
      </c>
      <c r="L11" s="630">
        <v>16.941272000000001</v>
      </c>
    </row>
    <row r="12" spans="2:12" s="1" customFormat="1" ht="13.35" customHeight="1" x14ac:dyDescent="0.2">
      <c r="B12" s="631"/>
      <c r="C12" s="16" t="s">
        <v>26</v>
      </c>
      <c r="D12" s="338" t="s">
        <v>50</v>
      </c>
      <c r="E12" s="629">
        <v>23861</v>
      </c>
      <c r="F12" s="630">
        <v>22.978073000000002</v>
      </c>
      <c r="G12" s="629">
        <v>19824</v>
      </c>
      <c r="H12" s="630">
        <v>20.826686000000002</v>
      </c>
      <c r="I12" s="629">
        <v>20417</v>
      </c>
      <c r="J12" s="630">
        <v>23.713327999999997</v>
      </c>
      <c r="K12" s="629">
        <v>19513</v>
      </c>
      <c r="L12" s="630">
        <v>21.245024999999998</v>
      </c>
    </row>
    <row r="13" spans="2:12" s="1" customFormat="1" ht="13.35" customHeight="1" x14ac:dyDescent="0.2">
      <c r="B13" s="631"/>
      <c r="C13" s="16" t="s">
        <v>27</v>
      </c>
      <c r="D13" s="338" t="s">
        <v>51</v>
      </c>
      <c r="E13" s="629">
        <v>27892</v>
      </c>
      <c r="F13" s="630">
        <v>29.008901000000002</v>
      </c>
      <c r="G13" s="629">
        <v>23339</v>
      </c>
      <c r="H13" s="630">
        <v>28.175930000000001</v>
      </c>
      <c r="I13" s="629">
        <v>23883</v>
      </c>
      <c r="J13" s="630">
        <v>31.758061000000005</v>
      </c>
      <c r="K13" s="629">
        <v>22478</v>
      </c>
      <c r="L13" s="630">
        <v>27.868978999999996</v>
      </c>
    </row>
    <row r="14" spans="2:12" s="1" customFormat="1" ht="13.35" customHeight="1" x14ac:dyDescent="0.2">
      <c r="B14" s="631"/>
      <c r="C14" s="16" t="s">
        <v>28</v>
      </c>
      <c r="D14" s="338" t="s">
        <v>52</v>
      </c>
      <c r="E14" s="629">
        <v>30818</v>
      </c>
      <c r="F14" s="630">
        <v>37.63494</v>
      </c>
      <c r="G14" s="629">
        <v>26197</v>
      </c>
      <c r="H14" s="630">
        <v>33.802704999999996</v>
      </c>
      <c r="I14" s="629">
        <v>25832</v>
      </c>
      <c r="J14" s="630">
        <v>35.719398999999996</v>
      </c>
      <c r="K14" s="629">
        <v>24561</v>
      </c>
      <c r="L14" s="630">
        <v>34.235038000000003</v>
      </c>
    </row>
    <row r="15" spans="2:12" customFormat="1" ht="13.35" customHeight="1" x14ac:dyDescent="0.2">
      <c r="B15" s="631"/>
      <c r="C15" s="16" t="s">
        <v>29</v>
      </c>
      <c r="D15" s="338" t="s">
        <v>53</v>
      </c>
      <c r="E15" s="629">
        <v>33090</v>
      </c>
      <c r="F15" s="630">
        <v>49.107879000000004</v>
      </c>
      <c r="G15" s="629">
        <v>27144</v>
      </c>
      <c r="H15" s="630">
        <v>45.147993999999997</v>
      </c>
      <c r="I15" s="629">
        <v>27147</v>
      </c>
      <c r="J15" s="630">
        <v>40.354984999999999</v>
      </c>
      <c r="K15" s="629">
        <v>26290</v>
      </c>
      <c r="L15" s="630">
        <v>40.109287999999992</v>
      </c>
    </row>
    <row r="16" spans="2:12" customFormat="1" ht="13.35" customHeight="1" x14ac:dyDescent="0.2">
      <c r="B16" s="631"/>
      <c r="C16" s="16" t="s">
        <v>30</v>
      </c>
      <c r="D16" s="338" t="s">
        <v>54</v>
      </c>
      <c r="E16" s="629">
        <v>33932</v>
      </c>
      <c r="F16" s="630">
        <v>59.025285000000004</v>
      </c>
      <c r="G16" s="629">
        <v>28763</v>
      </c>
      <c r="H16" s="630">
        <v>61.224687999999993</v>
      </c>
      <c r="I16" s="629">
        <v>27259</v>
      </c>
      <c r="J16" s="630">
        <v>50.76986500000001</v>
      </c>
      <c r="K16" s="629">
        <v>27436</v>
      </c>
      <c r="L16" s="630">
        <v>45.663947000000007</v>
      </c>
    </row>
    <row r="17" spans="2:12" customFormat="1" ht="13.35" customHeight="1" x14ac:dyDescent="0.2">
      <c r="B17" s="631"/>
      <c r="C17" s="16" t="s">
        <v>31</v>
      </c>
      <c r="D17" s="338" t="s">
        <v>55</v>
      </c>
      <c r="E17" s="629">
        <v>34460</v>
      </c>
      <c r="F17" s="630">
        <v>68.313665</v>
      </c>
      <c r="G17" s="629">
        <v>28889</v>
      </c>
      <c r="H17" s="630">
        <v>68.173636000000002</v>
      </c>
      <c r="I17" s="629">
        <v>28491</v>
      </c>
      <c r="J17" s="630">
        <v>75.958415999999986</v>
      </c>
      <c r="K17" s="629">
        <v>28215</v>
      </c>
      <c r="L17" s="630">
        <v>58.233776999999989</v>
      </c>
    </row>
    <row r="18" spans="2:12" customFormat="1" ht="13.35" customHeight="1" x14ac:dyDescent="0.2">
      <c r="B18" s="631"/>
      <c r="C18" s="16" t="s">
        <v>32</v>
      </c>
      <c r="D18" s="338" t="s">
        <v>56</v>
      </c>
      <c r="E18" s="629">
        <v>34084</v>
      </c>
      <c r="F18" s="630">
        <v>75.518715000000014</v>
      </c>
      <c r="G18" s="629">
        <v>28087</v>
      </c>
      <c r="H18" s="630">
        <v>75.813849000000005</v>
      </c>
      <c r="I18" s="629">
        <v>27833</v>
      </c>
      <c r="J18" s="630">
        <v>81.612169999999992</v>
      </c>
      <c r="K18" s="629">
        <v>29706</v>
      </c>
      <c r="L18" s="630">
        <v>82.803567999999999</v>
      </c>
    </row>
    <row r="19" spans="2:12" customFormat="1" ht="13.35" customHeight="1" x14ac:dyDescent="0.2">
      <c r="B19" s="631"/>
      <c r="C19" s="16" t="s">
        <v>33</v>
      </c>
      <c r="D19" s="338" t="s">
        <v>57</v>
      </c>
      <c r="E19" s="629">
        <v>32887</v>
      </c>
      <c r="F19" s="630">
        <v>84.660688000000007</v>
      </c>
      <c r="G19" s="629">
        <v>26451</v>
      </c>
      <c r="H19" s="630">
        <v>72.554577000000009</v>
      </c>
      <c r="I19" s="629">
        <v>26138</v>
      </c>
      <c r="J19" s="630">
        <v>67.112153000000006</v>
      </c>
      <c r="K19" s="629">
        <v>29677</v>
      </c>
      <c r="L19" s="630">
        <v>99.792006000000001</v>
      </c>
    </row>
    <row r="20" spans="2:12" customFormat="1" ht="13.35" customHeight="1" x14ac:dyDescent="0.2">
      <c r="B20" s="631"/>
      <c r="C20" s="16" t="s">
        <v>34</v>
      </c>
      <c r="D20" s="338" t="s">
        <v>58</v>
      </c>
      <c r="E20" s="629">
        <v>134620</v>
      </c>
      <c r="F20" s="630">
        <v>407.81999500000006</v>
      </c>
      <c r="G20" s="629">
        <v>114960</v>
      </c>
      <c r="H20" s="630">
        <v>404.93742299999997</v>
      </c>
      <c r="I20" s="629">
        <v>121110</v>
      </c>
      <c r="J20" s="630">
        <v>395.18590600000005</v>
      </c>
      <c r="K20" s="629">
        <v>123759</v>
      </c>
      <c r="L20" s="630">
        <v>390.83035699999994</v>
      </c>
    </row>
    <row r="21" spans="2:12" customFormat="1" ht="13.35" customHeight="1" x14ac:dyDescent="0.2">
      <c r="B21" s="631"/>
      <c r="C21" s="16" t="s">
        <v>35</v>
      </c>
      <c r="D21" s="338" t="s">
        <v>59</v>
      </c>
      <c r="E21" s="629">
        <v>152375</v>
      </c>
      <c r="F21" s="630">
        <v>538.155439</v>
      </c>
      <c r="G21" s="629">
        <v>134220</v>
      </c>
      <c r="H21" s="630">
        <v>612.98832699999991</v>
      </c>
      <c r="I21" s="629">
        <v>149871</v>
      </c>
      <c r="J21" s="630">
        <v>695.38869499999998</v>
      </c>
      <c r="K21" s="629">
        <v>165706</v>
      </c>
      <c r="L21" s="630">
        <v>734.23024700000008</v>
      </c>
    </row>
    <row r="22" spans="2:12" customFormat="1" ht="13.35" customHeight="1" x14ac:dyDescent="0.2">
      <c r="B22" s="631"/>
      <c r="C22" s="16" t="s">
        <v>36</v>
      </c>
      <c r="D22" s="338" t="s">
        <v>60</v>
      </c>
      <c r="E22" s="629">
        <v>77496</v>
      </c>
      <c r="F22" s="630">
        <v>359.56047999999998</v>
      </c>
      <c r="G22" s="629">
        <v>69750</v>
      </c>
      <c r="H22" s="630">
        <v>448.99341999999996</v>
      </c>
      <c r="I22" s="629">
        <v>83409</v>
      </c>
      <c r="J22" s="630">
        <v>555.97505999999998</v>
      </c>
      <c r="K22" s="629">
        <v>92779</v>
      </c>
      <c r="L22" s="630">
        <v>582.22484400000008</v>
      </c>
    </row>
    <row r="23" spans="2:12" customFormat="1" ht="13.35" customHeight="1" x14ac:dyDescent="0.2">
      <c r="B23" s="631"/>
      <c r="C23" s="16" t="s">
        <v>37</v>
      </c>
      <c r="D23" s="338" t="s">
        <v>61</v>
      </c>
      <c r="E23" s="629">
        <v>43135</v>
      </c>
      <c r="F23" s="630">
        <v>232.83942999999999</v>
      </c>
      <c r="G23" s="629">
        <v>37680</v>
      </c>
      <c r="H23" s="630">
        <v>277.4416609999999</v>
      </c>
      <c r="I23" s="629">
        <v>47178</v>
      </c>
      <c r="J23" s="630">
        <v>385.25540300000006</v>
      </c>
      <c r="K23" s="629">
        <v>55656</v>
      </c>
      <c r="L23" s="630">
        <v>448.20362200000005</v>
      </c>
    </row>
    <row r="24" spans="2:12" customFormat="1" ht="13.35" customHeight="1" x14ac:dyDescent="0.2">
      <c r="B24" s="631"/>
      <c r="C24" s="16" t="s">
        <v>38</v>
      </c>
      <c r="D24" s="338" t="s">
        <v>62</v>
      </c>
      <c r="E24" s="629">
        <v>46579</v>
      </c>
      <c r="F24" s="630">
        <v>327.51879900000006</v>
      </c>
      <c r="G24" s="629">
        <v>43082</v>
      </c>
      <c r="H24" s="630">
        <v>389.16800999999998</v>
      </c>
      <c r="I24" s="629">
        <v>52737</v>
      </c>
      <c r="J24" s="630">
        <v>473.15160599999996</v>
      </c>
      <c r="K24" s="629">
        <v>62277</v>
      </c>
      <c r="L24" s="630">
        <v>573.01604600000007</v>
      </c>
    </row>
    <row r="25" spans="2:12" customFormat="1" ht="13.35" customHeight="1" x14ac:dyDescent="0.2">
      <c r="B25" s="631"/>
      <c r="C25" s="16" t="s">
        <v>39</v>
      </c>
      <c r="D25" s="338" t="s">
        <v>63</v>
      </c>
      <c r="E25" s="629">
        <v>16643</v>
      </c>
      <c r="F25" s="630">
        <v>200.31745599999996</v>
      </c>
      <c r="G25" s="629">
        <v>14679</v>
      </c>
      <c r="H25" s="630">
        <v>207.780148</v>
      </c>
      <c r="I25" s="629">
        <v>18454</v>
      </c>
      <c r="J25" s="630">
        <v>240.00564599999998</v>
      </c>
      <c r="K25" s="629">
        <v>23181</v>
      </c>
      <c r="L25" s="630">
        <v>285.27032100000002</v>
      </c>
    </row>
    <row r="26" spans="2:12" customFormat="1" ht="13.35" customHeight="1" x14ac:dyDescent="0.2">
      <c r="B26" s="631"/>
      <c r="C26" s="16" t="s">
        <v>40</v>
      </c>
      <c r="D26" s="338" t="s">
        <v>64</v>
      </c>
      <c r="E26" s="629">
        <v>17103</v>
      </c>
      <c r="F26" s="630">
        <v>563.06458099999998</v>
      </c>
      <c r="G26" s="629">
        <v>13745</v>
      </c>
      <c r="H26" s="630">
        <v>536.23980100000006</v>
      </c>
      <c r="I26" s="629">
        <v>17332</v>
      </c>
      <c r="J26" s="630">
        <v>598.36527599999988</v>
      </c>
      <c r="K26" s="629">
        <v>21104</v>
      </c>
      <c r="L26" s="630">
        <v>651.74490000000003</v>
      </c>
    </row>
    <row r="27" spans="2:12" customFormat="1" ht="13.35" customHeight="1" x14ac:dyDescent="0.2">
      <c r="B27" s="631"/>
      <c r="C27" s="16" t="s">
        <v>41</v>
      </c>
      <c r="D27" s="338" t="s">
        <v>65</v>
      </c>
      <c r="E27" s="629">
        <v>5520</v>
      </c>
      <c r="F27" s="630">
        <v>730.44658499999991</v>
      </c>
      <c r="G27" s="629">
        <v>4274</v>
      </c>
      <c r="H27" s="630">
        <v>809.62646899999982</v>
      </c>
      <c r="I27" s="629">
        <v>5436</v>
      </c>
      <c r="J27" s="630">
        <v>812.3975999999999</v>
      </c>
      <c r="K27" s="629">
        <v>6305</v>
      </c>
      <c r="L27" s="630">
        <v>932.70520099999999</v>
      </c>
    </row>
    <row r="28" spans="2:12" customFormat="1" ht="13.35" customHeight="1" x14ac:dyDescent="0.2">
      <c r="B28" s="632"/>
      <c r="C28" s="280" t="s">
        <v>42</v>
      </c>
      <c r="D28" s="434" t="s">
        <v>66</v>
      </c>
      <c r="E28" s="633">
        <v>1073</v>
      </c>
      <c r="F28" s="634">
        <v>324.03898000000004</v>
      </c>
      <c r="G28" s="633">
        <v>710</v>
      </c>
      <c r="H28" s="634">
        <v>234.32087999999999</v>
      </c>
      <c r="I28" s="633">
        <v>947</v>
      </c>
      <c r="J28" s="634">
        <v>300.33462500000002</v>
      </c>
      <c r="K28" s="633">
        <v>1140</v>
      </c>
      <c r="L28" s="634">
        <v>338.47746700000005</v>
      </c>
    </row>
    <row r="29" spans="2:12" customFormat="1" ht="13.35" customHeight="1" x14ac:dyDescent="0.2">
      <c r="B29" s="632"/>
      <c r="C29" s="635" t="s">
        <v>8</v>
      </c>
      <c r="D29" s="636"/>
      <c r="E29" s="637">
        <f t="shared" ref="E29:L29" si="0">SUM(E4:E28)</f>
        <v>801688</v>
      </c>
      <c r="F29" s="638">
        <f t="shared" si="0"/>
        <v>4157.4356580000003</v>
      </c>
      <c r="G29" s="637">
        <f t="shared" si="0"/>
        <v>690954</v>
      </c>
      <c r="H29" s="638">
        <f t="shared" si="0"/>
        <v>4377.6105049999996</v>
      </c>
      <c r="I29" s="637">
        <f t="shared" si="0"/>
        <v>755459</v>
      </c>
      <c r="J29" s="638">
        <f t="shared" si="0"/>
        <v>4919.9736510000002</v>
      </c>
      <c r="K29" s="637">
        <f t="shared" si="0"/>
        <v>809512</v>
      </c>
      <c r="L29" s="638">
        <f t="shared" si="0"/>
        <v>5400.5504489999994</v>
      </c>
    </row>
    <row r="30" spans="2:12" s="1" customFormat="1" ht="12" customHeight="1" x14ac:dyDescent="0.2">
      <c r="B30" s="645"/>
      <c r="C30" s="645" t="s">
        <v>570</v>
      </c>
    </row>
    <row r="31" spans="2:12" s="1" customFormat="1" ht="13.35" customHeight="1" x14ac:dyDescent="0.2"/>
    <row r="32" spans="2:12" customFormat="1" ht="13.35" customHeight="1" x14ac:dyDescent="0.2">
      <c r="G32" s="352" t="s">
        <v>371</v>
      </c>
      <c r="I32" s="1"/>
    </row>
    <row r="33" spans="4:12" customFormat="1" ht="13.35" customHeight="1" x14ac:dyDescent="0.2">
      <c r="I33" s="1"/>
    </row>
    <row r="34" spans="4:12" customFormat="1" ht="13.35" hidden="1" customHeight="1" x14ac:dyDescent="0.2">
      <c r="D34" s="106" t="s">
        <v>273</v>
      </c>
      <c r="E34" s="84">
        <f>A2.6.1!E17-A2.6.2!E29</f>
        <v>0</v>
      </c>
      <c r="F34" s="84">
        <f>A2.6.1!F17-A2.6.2!F29</f>
        <v>0</v>
      </c>
      <c r="G34" s="84">
        <f>A2.6.1!G17-A2.6.2!G29</f>
        <v>0</v>
      </c>
      <c r="H34" s="84">
        <f>A2.6.1!H17-A2.6.2!H29</f>
        <v>0</v>
      </c>
      <c r="I34" s="84">
        <f>A2.6.1!I17-A2.6.2!I29</f>
        <v>0</v>
      </c>
      <c r="J34" s="84">
        <f>A2.6.1!J17-A2.6.2!J29</f>
        <v>0</v>
      </c>
      <c r="K34" s="84">
        <f>A2.6.1!K17-A2.6.2!K29</f>
        <v>0</v>
      </c>
      <c r="L34" s="107">
        <f>A2.6.1!L17-A2.6.2!L29</f>
        <v>0</v>
      </c>
    </row>
    <row r="35" spans="4:12" customFormat="1" ht="13.35" customHeight="1" x14ac:dyDescent="0.2">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enableFormatConditionsCalculation="0">
    <tabColor theme="7" tint="0.79998168889431442"/>
    <pageSetUpPr fitToPage="1"/>
  </sheetPr>
  <dimension ref="B1:L32"/>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2:12" s="8" customFormat="1" ht="15" customHeight="1" x14ac:dyDescent="0.2">
      <c r="B1" s="439" t="s">
        <v>430</v>
      </c>
      <c r="C1" s="311"/>
      <c r="D1" s="311"/>
      <c r="E1" s="311"/>
      <c r="F1" s="311"/>
      <c r="G1" s="311"/>
      <c r="H1" s="311"/>
      <c r="I1" s="311"/>
      <c r="J1" s="311"/>
      <c r="K1" s="311"/>
      <c r="L1" s="311"/>
    </row>
    <row r="2" spans="2:12" s="8" customFormat="1" ht="15" customHeight="1" x14ac:dyDescent="0.2">
      <c r="B2" s="463"/>
      <c r="C2" s="464" t="s">
        <v>168</v>
      </c>
      <c r="D2" s="526"/>
      <c r="E2" s="466" t="s">
        <v>576</v>
      </c>
      <c r="F2" s="468"/>
      <c r="G2" s="469" t="s">
        <v>577</v>
      </c>
      <c r="H2" s="468"/>
      <c r="I2" s="469" t="s">
        <v>578</v>
      </c>
      <c r="J2" s="468"/>
      <c r="K2" s="1033" t="s">
        <v>579</v>
      </c>
      <c r="L2" s="1020"/>
    </row>
    <row r="3" spans="2:12" ht="24.95" customHeight="1" x14ac:dyDescent="0.2">
      <c r="B3" s="470"/>
      <c r="C3" s="1028" t="s">
        <v>194</v>
      </c>
      <c r="D3" s="1030"/>
      <c r="E3" s="623" t="s">
        <v>17</v>
      </c>
      <c r="F3" s="624" t="s">
        <v>85</v>
      </c>
      <c r="G3" s="623" t="s">
        <v>17</v>
      </c>
      <c r="H3" s="624" t="s">
        <v>85</v>
      </c>
      <c r="I3" s="623" t="s">
        <v>17</v>
      </c>
      <c r="J3" s="624" t="s">
        <v>85</v>
      </c>
      <c r="K3" s="623" t="s">
        <v>17</v>
      </c>
      <c r="L3" s="624" t="s">
        <v>85</v>
      </c>
    </row>
    <row r="4" spans="2:12" ht="13.35" customHeight="1" x14ac:dyDescent="0.2">
      <c r="B4" s="145"/>
      <c r="C4" s="16" t="s">
        <v>18</v>
      </c>
      <c r="D4" s="338" t="s">
        <v>43</v>
      </c>
      <c r="E4" s="639">
        <f>A2.6.2!E4/A2.6.2!E$29</f>
        <v>1.1949785951642035E-3</v>
      </c>
      <c r="F4" s="640">
        <f>A2.6.2!F4/A2.6.2!F$29</f>
        <v>1.1048943093468794E-3</v>
      </c>
      <c r="G4" s="639">
        <f>A2.6.2!G4/A2.6.2!G$29</f>
        <v>1.4226706843002573E-3</v>
      </c>
      <c r="H4" s="640">
        <f>A2.6.2!H4/A2.6.2!H$29</f>
        <v>9.5419156072223477E-4</v>
      </c>
      <c r="I4" s="639">
        <f>A2.6.2!I4/A2.6.2!I$29</f>
        <v>1.2959009026300566E-3</v>
      </c>
      <c r="J4" s="640">
        <f>A2.6.2!J4/A2.6.2!J$29</f>
        <v>8.1441574370740455E-4</v>
      </c>
      <c r="K4" s="639">
        <f>A2.6.2!K4/A2.6.2!K$29</f>
        <v>1.2044293352044195E-3</v>
      </c>
      <c r="L4" s="640">
        <f>A2.6.2!L4/A2.6.2!L$29</f>
        <v>8.4262984726725973E-4</v>
      </c>
    </row>
    <row r="5" spans="2:12" ht="13.35" customHeight="1" x14ac:dyDescent="0.2">
      <c r="B5" s="145"/>
      <c r="C5" s="16" t="s">
        <v>19</v>
      </c>
      <c r="D5" s="339" t="s">
        <v>129</v>
      </c>
      <c r="E5" s="639">
        <f>A2.6.2!E5/A2.6.2!E$29</f>
        <v>2.8689465228368144E-5</v>
      </c>
      <c r="F5" s="640">
        <f>A2.6.2!F5/A2.6.2!F$29</f>
        <v>1.0188010948166064E-5</v>
      </c>
      <c r="G5" s="639">
        <f>A2.6.2!G5/A2.6.2!G$29</f>
        <v>1.7367292178639967E-5</v>
      </c>
      <c r="H5" s="640">
        <f>A2.6.2!H5/A2.6.2!H$29</f>
        <v>2.1961981288693937E-5</v>
      </c>
      <c r="I5" s="639">
        <f>A2.6.2!I5/A2.6.2!I$29</f>
        <v>2.6473971453116584E-5</v>
      </c>
      <c r="J5" s="640">
        <f>A2.6.2!J5/A2.6.2!J$29</f>
        <v>9.2289112139393441E-6</v>
      </c>
      <c r="K5" s="639">
        <f>A2.6.2!K5/A2.6.2!K$29</f>
        <v>2.223561849608159E-5</v>
      </c>
      <c r="L5" s="640">
        <f>A2.6.2!L5/A2.6.2!L$29</f>
        <v>4.5358709693260758E-5</v>
      </c>
    </row>
    <row r="6" spans="2:12" ht="13.35" customHeight="1" x14ac:dyDescent="0.2">
      <c r="B6" s="145"/>
      <c r="C6" s="16" t="s">
        <v>20</v>
      </c>
      <c r="D6" s="338" t="s">
        <v>44</v>
      </c>
      <c r="E6" s="639">
        <f>A2.6.2!E6/A2.6.2!E$29</f>
        <v>5.6742772749498556E-3</v>
      </c>
      <c r="F6" s="640">
        <f>A2.6.2!F6/A2.6.2!F$29</f>
        <v>5.7517618953370703E-4</v>
      </c>
      <c r="G6" s="639">
        <f>A2.6.2!G6/A2.6.2!G$29</f>
        <v>6.7269311705265471E-3</v>
      </c>
      <c r="H6" s="640">
        <f>A2.6.2!H6/A2.6.2!H$29</f>
        <v>7.3874388694615035E-4</v>
      </c>
      <c r="I6" s="639">
        <f>A2.6.2!I6/A2.6.2!I$29</f>
        <v>5.7739731739247261E-3</v>
      </c>
      <c r="J6" s="640">
        <f>A2.6.2!J6/A2.6.2!J$29</f>
        <v>5.8519012584850119E-4</v>
      </c>
      <c r="K6" s="639">
        <f>A2.6.2!K6/A2.6.2!K$29</f>
        <v>5.166075363922956E-3</v>
      </c>
      <c r="L6" s="640">
        <f>A2.6.2!L6/A2.6.2!L$29</f>
        <v>4.2199661340484228E-4</v>
      </c>
    </row>
    <row r="7" spans="2:12" ht="13.35" customHeight="1" x14ac:dyDescent="0.2">
      <c r="B7" s="145"/>
      <c r="C7" s="16" t="s">
        <v>21</v>
      </c>
      <c r="D7" s="338" t="s">
        <v>45</v>
      </c>
      <c r="E7" s="639">
        <f>A2.6.2!E7/A2.6.2!E$29</f>
        <v>5.0331300954984982E-3</v>
      </c>
      <c r="F7" s="640">
        <f>A2.6.2!F7/A2.6.2!F$29</f>
        <v>7.7058342294133455E-4</v>
      </c>
      <c r="G7" s="639">
        <f>A2.6.2!G7/A2.6.2!G$29</f>
        <v>5.6877881885045896E-3</v>
      </c>
      <c r="H7" s="640">
        <f>A2.6.2!H7/A2.6.2!H$29</f>
        <v>1.4199920237079201E-3</v>
      </c>
      <c r="I7" s="639">
        <f>A2.6.2!I7/A2.6.2!I$29</f>
        <v>5.6852853695567862E-3</v>
      </c>
      <c r="J7" s="640">
        <f>A2.6.2!J7/A2.6.2!J$29</f>
        <v>7.3449580350201757E-4</v>
      </c>
      <c r="K7" s="639">
        <f>A2.6.2!K7/A2.6.2!K$29</f>
        <v>5.248841277213926E-3</v>
      </c>
      <c r="L7" s="640">
        <f>A2.6.2!L7/A2.6.2!L$29</f>
        <v>5.0729514072168241E-4</v>
      </c>
    </row>
    <row r="8" spans="2:12" ht="13.35" customHeight="1" x14ac:dyDescent="0.2">
      <c r="B8" s="145"/>
      <c r="C8" s="16" t="s">
        <v>22</v>
      </c>
      <c r="D8" s="338" t="s">
        <v>46</v>
      </c>
      <c r="E8" s="639">
        <f>A2.6.2!E8/A2.6.2!E$29</f>
        <v>6.9353663769446466E-3</v>
      </c>
      <c r="F8" s="640">
        <f>A2.6.2!F8/A2.6.2!F$29</f>
        <v>1.0038341764759069E-3</v>
      </c>
      <c r="G8" s="639">
        <f>A2.6.2!G8/A2.6.2!G$29</f>
        <v>7.4549101676812061E-3</v>
      </c>
      <c r="H8" s="640">
        <f>A2.6.2!H8/A2.6.2!H$29</f>
        <v>1.2515471611150113E-3</v>
      </c>
      <c r="I8" s="639">
        <f>A2.6.2!I8/A2.6.2!I$29</f>
        <v>7.4802206340780905E-3</v>
      </c>
      <c r="J8" s="640">
        <f>A2.6.2!J8/A2.6.2!J$29</f>
        <v>2.1260847602047454E-3</v>
      </c>
      <c r="K8" s="639">
        <f>A2.6.2!K8/A2.6.2!K$29</f>
        <v>7.0116316990977284E-3</v>
      </c>
      <c r="L8" s="640">
        <f>A2.6.2!L8/A2.6.2!L$29</f>
        <v>8.192814865416693E-4</v>
      </c>
    </row>
    <row r="9" spans="2:12" ht="13.35" customHeight="1" x14ac:dyDescent="0.2">
      <c r="B9" s="145"/>
      <c r="C9" s="16" t="s">
        <v>23</v>
      </c>
      <c r="D9" s="338" t="s">
        <v>47</v>
      </c>
      <c r="E9" s="639">
        <f>A2.6.2!E9/A2.6.2!E$29</f>
        <v>1.1126523036393211E-2</v>
      </c>
      <c r="F9" s="640">
        <f>A2.6.2!F9/A2.6.2!F$29</f>
        <v>1.5488234887314279E-3</v>
      </c>
      <c r="G9" s="639">
        <f>A2.6.2!G9/A2.6.2!G$29</f>
        <v>1.0376957076737381E-2</v>
      </c>
      <c r="H9" s="640">
        <f>A2.6.2!H9/A2.6.2!H$29</f>
        <v>1.466019416910185E-3</v>
      </c>
      <c r="I9" s="639">
        <f>A2.6.2!I9/A2.6.2!I$29</f>
        <v>1.0417507766801375E-2</v>
      </c>
      <c r="J9" s="640">
        <f>A2.6.2!J9/A2.6.2!J$29</f>
        <v>1.6775988217584059E-3</v>
      </c>
      <c r="K9" s="639">
        <f>A2.6.2!K9/A2.6.2!K$29</f>
        <v>9.3451363290476229E-3</v>
      </c>
      <c r="L9" s="640">
        <f>A2.6.2!L9/A2.6.2!L$29</f>
        <v>1.7511714943337254E-3</v>
      </c>
    </row>
    <row r="10" spans="2:12" s="50" customFormat="1" ht="13.35" customHeight="1" x14ac:dyDescent="0.2">
      <c r="B10" s="145"/>
      <c r="C10" s="16" t="s">
        <v>24</v>
      </c>
      <c r="D10" s="338" t="s">
        <v>48</v>
      </c>
      <c r="E10" s="639">
        <f>A2.6.2!E10/A2.6.2!E$29</f>
        <v>1.6174621548532598E-2</v>
      </c>
      <c r="F10" s="640">
        <f>A2.6.2!F10/A2.6.2!F$29</f>
        <v>2.3424312006514281E-3</v>
      </c>
      <c r="G10" s="639">
        <f>A2.6.2!G10/A2.6.2!G$29</f>
        <v>1.6762331501084009E-2</v>
      </c>
      <c r="H10" s="640">
        <f>A2.6.2!H10/A2.6.2!H$29</f>
        <v>2.2639917344587971E-3</v>
      </c>
      <c r="I10" s="639">
        <f>A2.6.2!I10/A2.6.2!I$29</f>
        <v>1.5950567800502739E-2</v>
      </c>
      <c r="J10" s="640">
        <f>A2.6.2!J10/A2.6.2!J$29</f>
        <v>2.3287913336022055E-3</v>
      </c>
      <c r="K10" s="639">
        <f>A2.6.2!K10/A2.6.2!K$29</f>
        <v>1.4211030843273478E-2</v>
      </c>
      <c r="L10" s="640">
        <f>A2.6.2!L10/A2.6.2!L$29</f>
        <v>2.4550032677604192E-3</v>
      </c>
    </row>
    <row r="11" spans="2:12" s="1" customFormat="1" ht="13.35" customHeight="1" x14ac:dyDescent="0.2">
      <c r="B11" s="631"/>
      <c r="C11" s="16" t="s">
        <v>25</v>
      </c>
      <c r="D11" s="338" t="s">
        <v>49</v>
      </c>
      <c r="E11" s="639">
        <f>A2.6.2!E11/A2.6.2!E$29</f>
        <v>2.3834708764506891E-2</v>
      </c>
      <c r="F11" s="640">
        <f>A2.6.2!F11/A2.6.2!F$29</f>
        <v>4.0515258408359957E-3</v>
      </c>
      <c r="G11" s="639">
        <f>A2.6.2!G11/A2.6.2!G$29</f>
        <v>2.2699050877482436E-2</v>
      </c>
      <c r="H11" s="640">
        <f>A2.6.2!H11/A2.6.2!H$29</f>
        <v>3.3953806495628379E-3</v>
      </c>
      <c r="I11" s="639">
        <f>A2.6.2!I11/A2.6.2!I$29</f>
        <v>2.2182540680566385E-2</v>
      </c>
      <c r="J11" s="640">
        <f>A2.6.2!J11/A2.6.2!J$29</f>
        <v>3.2924387708270675E-3</v>
      </c>
      <c r="K11" s="639">
        <f>A2.6.2!K11/A2.6.2!K$29</f>
        <v>1.9221456877723864E-2</v>
      </c>
      <c r="L11" s="640">
        <f>A2.6.2!L11/A2.6.2!L$29</f>
        <v>3.1369528273061417E-3</v>
      </c>
    </row>
    <row r="12" spans="2:12" s="1" customFormat="1" ht="13.35" customHeight="1" x14ac:dyDescent="0.2">
      <c r="B12" s="631"/>
      <c r="C12" s="16" t="s">
        <v>26</v>
      </c>
      <c r="D12" s="338" t="s">
        <v>50</v>
      </c>
      <c r="E12" s="639">
        <f>A2.6.2!E12/A2.6.2!E$29</f>
        <v>2.9763449122351838E-2</v>
      </c>
      <c r="F12" s="640">
        <f>A2.6.2!F12/A2.6.2!F$29</f>
        <v>5.5269822290055512E-3</v>
      </c>
      <c r="G12" s="639">
        <f>A2.6.2!G12/A2.6.2!G$29</f>
        <v>2.8690766679113227E-2</v>
      </c>
      <c r="H12" s="640">
        <f>A2.6.2!H12/A2.6.2!H$29</f>
        <v>4.7575466058965895E-3</v>
      </c>
      <c r="I12" s="639">
        <f>A2.6.2!I12/A2.6.2!I$29</f>
        <v>2.7025953757914063E-2</v>
      </c>
      <c r="J12" s="640">
        <f>A2.6.2!J12/A2.6.2!J$29</f>
        <v>4.8198079262437082E-3</v>
      </c>
      <c r="K12" s="639">
        <f>A2.6.2!K12/A2.6.2!K$29</f>
        <v>2.4104645761891114E-2</v>
      </c>
      <c r="L12" s="640">
        <f>A2.6.2!L12/A2.6.2!L$29</f>
        <v>3.9338628905751386E-3</v>
      </c>
    </row>
    <row r="13" spans="2:12" s="1" customFormat="1" ht="13.35" customHeight="1" x14ac:dyDescent="0.2">
      <c r="B13" s="631"/>
      <c r="C13" s="16" t="s">
        <v>27</v>
      </c>
      <c r="D13" s="338" t="s">
        <v>51</v>
      </c>
      <c r="E13" s="639">
        <f>A2.6.2!E13/A2.6.2!E$29</f>
        <v>3.479158974563671E-2</v>
      </c>
      <c r="F13" s="640">
        <f>A2.6.2!F13/A2.6.2!F$29</f>
        <v>6.9775946969087167E-3</v>
      </c>
      <c r="G13" s="639">
        <f>A2.6.2!G13/A2.6.2!G$29</f>
        <v>3.3777936013106517E-2</v>
      </c>
      <c r="H13" s="640">
        <f>A2.6.2!H13/A2.6.2!H$29</f>
        <v>6.4363720728050477E-3</v>
      </c>
      <c r="I13" s="639">
        <f>A2.6.2!I13/A2.6.2!I$29</f>
        <v>3.1613893010739164E-2</v>
      </c>
      <c r="J13" s="640">
        <f>A2.6.2!J13/A2.6.2!J$29</f>
        <v>6.4549250164266788E-3</v>
      </c>
      <c r="K13" s="639">
        <f>A2.6.2!K13/A2.6.2!K$29</f>
        <v>2.7767346253051221E-2</v>
      </c>
      <c r="L13" s="640">
        <f>A2.6.2!L13/A2.6.2!L$29</f>
        <v>5.1603960120695461E-3</v>
      </c>
    </row>
    <row r="14" spans="2:12" s="1" customFormat="1" ht="13.35" customHeight="1" x14ac:dyDescent="0.2">
      <c r="B14" s="631"/>
      <c r="C14" s="16" t="s">
        <v>28</v>
      </c>
      <c r="D14" s="338" t="s">
        <v>52</v>
      </c>
      <c r="E14" s="639">
        <f>A2.6.2!E14/A2.6.2!E$29</f>
        <v>3.8441388669906498E-2</v>
      </c>
      <c r="F14" s="640">
        <f>A2.6.2!F14/A2.6.2!F$29</f>
        <v>9.0524407581823833E-3</v>
      </c>
      <c r="G14" s="639">
        <f>A2.6.2!G14/A2.6.2!G$29</f>
        <v>3.7914246100319265E-2</v>
      </c>
      <c r="H14" s="640">
        <f>A2.6.2!H14/A2.6.2!H$29</f>
        <v>7.7217251195352745E-3</v>
      </c>
      <c r="I14" s="639">
        <f>A2.6.2!I14/A2.6.2!I$29</f>
        <v>3.4193781528845377E-2</v>
      </c>
      <c r="J14" s="640">
        <f>A2.6.2!J14/A2.6.2!J$29</f>
        <v>7.2600793284207758E-3</v>
      </c>
      <c r="K14" s="639">
        <f>A2.6.2!K14/A2.6.2!K$29</f>
        <v>3.0340501437903331E-2</v>
      </c>
      <c r="L14" s="640">
        <f>A2.6.2!L14/A2.6.2!L$29</f>
        <v>6.3391756679801372E-3</v>
      </c>
    </row>
    <row r="15" spans="2:12" customFormat="1" ht="13.35" customHeight="1" x14ac:dyDescent="0.2">
      <c r="B15" s="631"/>
      <c r="C15" s="16" t="s">
        <v>29</v>
      </c>
      <c r="D15" s="338" t="s">
        <v>53</v>
      </c>
      <c r="E15" s="639">
        <f>A2.6.2!E15/A2.6.2!E$29</f>
        <v>4.1275408887247907E-2</v>
      </c>
      <c r="F15" s="640">
        <f>A2.6.2!F15/A2.6.2!F$29</f>
        <v>1.1812059894541848E-2</v>
      </c>
      <c r="G15" s="639">
        <f>A2.6.2!G15/A2.6.2!G$29</f>
        <v>3.928481490808361E-2</v>
      </c>
      <c r="H15" s="640">
        <f>A2.6.2!H15/A2.6.2!H$29</f>
        <v>1.0313387622867102E-2</v>
      </c>
      <c r="I15" s="639">
        <f>A2.6.2!I15/A2.6.2!I$29</f>
        <v>3.5934445151887789E-2</v>
      </c>
      <c r="J15" s="640">
        <f>A2.6.2!J15/A2.6.2!J$29</f>
        <v>8.202276650769811E-3</v>
      </c>
      <c r="K15" s="639">
        <f>A2.6.2!K15/A2.6.2!K$29</f>
        <v>3.247635612566583E-2</v>
      </c>
      <c r="L15" s="640">
        <f>A2.6.2!L15/A2.6.2!L$29</f>
        <v>7.4268888660093688E-3</v>
      </c>
    </row>
    <row r="16" spans="2:12" customFormat="1" ht="13.35" customHeight="1" x14ac:dyDescent="0.2">
      <c r="B16" s="631"/>
      <c r="C16" s="16" t="s">
        <v>30</v>
      </c>
      <c r="D16" s="338" t="s">
        <v>54</v>
      </c>
      <c r="E16" s="639">
        <f>A2.6.2!E16/A2.6.2!E$29</f>
        <v>4.2325692788216865E-2</v>
      </c>
      <c r="F16" s="640">
        <f>A2.6.2!F16/A2.6.2!F$29</f>
        <v>1.4197522188087222E-2</v>
      </c>
      <c r="G16" s="639">
        <f>A2.6.2!G16/A2.6.2!G$29</f>
        <v>4.1627952077851783E-2</v>
      </c>
      <c r="H16" s="640">
        <f>A2.6.2!H16/A2.6.2!H$29</f>
        <v>1.3985869215653301E-2</v>
      </c>
      <c r="I16" s="639">
        <f>A2.6.2!I16/A2.6.2!I$29</f>
        <v>3.6082699392025248E-2</v>
      </c>
      <c r="J16" s="640">
        <f>A2.6.2!J16/A2.6.2!J$29</f>
        <v>1.0319133516026225E-2</v>
      </c>
      <c r="K16" s="639">
        <f>A2.6.2!K16/A2.6.2!K$29</f>
        <v>3.3892023836583025E-2</v>
      </c>
      <c r="L16" s="640">
        <f>A2.6.2!L16/A2.6.2!L$29</f>
        <v>8.4554245777771486E-3</v>
      </c>
    </row>
    <row r="17" spans="2:12" customFormat="1" ht="13.35" customHeight="1" x14ac:dyDescent="0.2">
      <c r="B17" s="631"/>
      <c r="C17" s="16" t="s">
        <v>31</v>
      </c>
      <c r="D17" s="338" t="s">
        <v>55</v>
      </c>
      <c r="E17" s="639">
        <f>A2.6.2!E17/A2.6.2!E$29</f>
        <v>4.2984303120415922E-2</v>
      </c>
      <c r="F17" s="640">
        <f>A2.6.2!F17/A2.6.2!F$29</f>
        <v>1.6431683042056593E-2</v>
      </c>
      <c r="G17" s="639">
        <f>A2.6.2!G17/A2.6.2!G$29</f>
        <v>4.1810308645727504E-2</v>
      </c>
      <c r="H17" s="640">
        <f>A2.6.2!H17/A2.6.2!H$29</f>
        <v>1.5573253016030948E-2</v>
      </c>
      <c r="I17" s="639">
        <f>A2.6.2!I17/A2.6.2!I$29</f>
        <v>3.7713496033537228E-2</v>
      </c>
      <c r="J17" s="640">
        <f>A2.6.2!J17/A2.6.2!J$29</f>
        <v>1.5438785121249826E-2</v>
      </c>
      <c r="K17" s="639">
        <f>A2.6.2!K17/A2.6.2!K$29</f>
        <v>3.4854331992607894E-2</v>
      </c>
      <c r="L17" s="640">
        <f>A2.6.2!L17/A2.6.2!L$29</f>
        <v>1.0782933619439279E-2</v>
      </c>
    </row>
    <row r="18" spans="2:12" customFormat="1" ht="13.35" customHeight="1" x14ac:dyDescent="0.2">
      <c r="B18" s="631"/>
      <c r="C18" s="16" t="s">
        <v>32</v>
      </c>
      <c r="D18" s="338" t="s">
        <v>56</v>
      </c>
      <c r="E18" s="639">
        <f>A2.6.2!E18/A2.6.2!E$29</f>
        <v>4.2515292732334772E-2</v>
      </c>
      <c r="F18" s="640">
        <f>A2.6.2!F18/A2.6.2!F$29</f>
        <v>1.8164734517221483E-2</v>
      </c>
      <c r="G18" s="639">
        <f>A2.6.2!G18/A2.6.2!G$29</f>
        <v>4.0649594618455062E-2</v>
      </c>
      <c r="H18" s="640">
        <f>A2.6.2!H18/A2.6.2!H$29</f>
        <v>1.7318546022632046E-2</v>
      </c>
      <c r="I18" s="639">
        <f>A2.6.2!I18/A2.6.2!I$29</f>
        <v>3.6842502372729694E-2</v>
      </c>
      <c r="J18" s="640">
        <f>A2.6.2!J18/A2.6.2!J$29</f>
        <v>1.6587928267341852E-2</v>
      </c>
      <c r="K18" s="639">
        <f>A2.6.2!K18/A2.6.2!K$29</f>
        <v>3.6696182391366648E-2</v>
      </c>
      <c r="L18" s="640">
        <f>A2.6.2!L18/A2.6.2!L$29</f>
        <v>1.5332431162703506E-2</v>
      </c>
    </row>
    <row r="19" spans="2:12" customFormat="1" ht="13.35" customHeight="1" x14ac:dyDescent="0.2">
      <c r="B19" s="631"/>
      <c r="C19" s="16" t="s">
        <v>33</v>
      </c>
      <c r="D19" s="338" t="s">
        <v>57</v>
      </c>
      <c r="E19" s="639">
        <f>A2.6.2!E19/A2.6.2!E$29</f>
        <v>4.102219317240622E-2</v>
      </c>
      <c r="F19" s="640">
        <f>A2.6.2!F19/A2.6.2!F$29</f>
        <v>2.0363679672850875E-2</v>
      </c>
      <c r="G19" s="639">
        <f>A2.6.2!G19/A2.6.2!G$29</f>
        <v>3.8281853784767145E-2</v>
      </c>
      <c r="H19" s="640">
        <f>A2.6.2!H19/A2.6.2!H$29</f>
        <v>1.657401381807037E-2</v>
      </c>
      <c r="I19" s="639">
        <f>A2.6.2!I19/A2.6.2!I$29</f>
        <v>3.4598833292078059E-2</v>
      </c>
      <c r="J19" s="640">
        <f>A2.6.2!J19/A2.6.2!J$29</f>
        <v>1.3640754556959721E-2</v>
      </c>
      <c r="K19" s="639">
        <f>A2.6.2!K19/A2.6.2!K$29</f>
        <v>3.6660358339345188E-2</v>
      </c>
      <c r="L19" s="640">
        <f>A2.6.2!L19/A2.6.2!L$29</f>
        <v>1.8478117544199247E-2</v>
      </c>
    </row>
    <row r="20" spans="2:12" customFormat="1" ht="13.35" customHeight="1" x14ac:dyDescent="0.2">
      <c r="B20" s="631"/>
      <c r="C20" s="16" t="s">
        <v>34</v>
      </c>
      <c r="D20" s="338" t="s">
        <v>58</v>
      </c>
      <c r="E20" s="639">
        <f>A2.6.2!E20/A2.6.2!E$29</f>
        <v>0.16792068734969215</v>
      </c>
      <c r="F20" s="640">
        <f>A2.6.2!F20/A2.6.2!F$29</f>
        <v>9.8094120642672381E-2</v>
      </c>
      <c r="G20" s="639">
        <f>A2.6.2!G20/A2.6.2!G$29</f>
        <v>0.16637865907137089</v>
      </c>
      <c r="H20" s="640">
        <f>A2.6.2!H20/A2.6.2!H$29</f>
        <v>9.2501930570910856E-2</v>
      </c>
      <c r="I20" s="639">
        <f>A2.6.2!I20/A2.6.2!I$29</f>
        <v>0.16031313413434747</v>
      </c>
      <c r="J20" s="640">
        <f>A2.6.2!J20/A2.6.2!J$29</f>
        <v>8.0322768785494866E-2</v>
      </c>
      <c r="K20" s="639">
        <f>A2.6.2!K20/A2.6.2!K$29</f>
        <v>0.15288099496980898</v>
      </c>
      <c r="L20" s="640">
        <f>A2.6.2!L20/A2.6.2!L$29</f>
        <v>7.2368615142252513E-2</v>
      </c>
    </row>
    <row r="21" spans="2:12" customFormat="1" ht="13.35" customHeight="1" x14ac:dyDescent="0.2">
      <c r="B21" s="631"/>
      <c r="C21" s="16" t="s">
        <v>35</v>
      </c>
      <c r="D21" s="338" t="s">
        <v>59</v>
      </c>
      <c r="E21" s="639">
        <f>A2.6.2!E21/A2.6.2!E$29</f>
        <v>0.19006770713793894</v>
      </c>
      <c r="F21" s="640">
        <f>A2.6.2!F21/A2.6.2!F$29</f>
        <v>0.12944408122455181</v>
      </c>
      <c r="G21" s="639">
        <f>A2.6.2!G21/A2.6.2!G$29</f>
        <v>0.19425316301808804</v>
      </c>
      <c r="H21" s="640">
        <f>A2.6.2!H21/A2.6.2!H$29</f>
        <v>0.14002806469416584</v>
      </c>
      <c r="I21" s="639">
        <f>A2.6.2!I21/A2.6.2!I$29</f>
        <v>0.19838402878250178</v>
      </c>
      <c r="J21" s="640">
        <f>A2.6.2!J21/A2.6.2!J$29</f>
        <v>0.14133992259463829</v>
      </c>
      <c r="K21" s="639">
        <f>A2.6.2!K21/A2.6.2!K$29</f>
        <v>0.20469863325064977</v>
      </c>
      <c r="L21" s="640">
        <f>A2.6.2!L21/A2.6.2!L$29</f>
        <v>0.13595470571633209</v>
      </c>
    </row>
    <row r="22" spans="2:12" customFormat="1" ht="13.35" customHeight="1" x14ac:dyDescent="0.2">
      <c r="B22" s="631"/>
      <c r="C22" s="16" t="s">
        <v>36</v>
      </c>
      <c r="D22" s="338" t="s">
        <v>60</v>
      </c>
      <c r="E22" s="639">
        <f>A2.6.2!E22/A2.6.2!E$29</f>
        <v>9.6666034666852946E-2</v>
      </c>
      <c r="F22" s="640">
        <f>A2.6.2!F22/A2.6.2!F$29</f>
        <v>8.6486120190004859E-2</v>
      </c>
      <c r="G22" s="639">
        <f>A2.6.2!G22/A2.6.2!G$29</f>
        <v>0.10094738578834481</v>
      </c>
      <c r="H22" s="640">
        <f>A2.6.2!H22/A2.6.2!H$29</f>
        <v>0.10256586772330947</v>
      </c>
      <c r="I22" s="639">
        <f>A2.6.2!I22/A2.6.2!I$29</f>
        <v>0.11040837424665005</v>
      </c>
      <c r="J22" s="640">
        <f>A2.6.2!J22/A2.6.2!J$29</f>
        <v>0.11300366616536581</v>
      </c>
      <c r="K22" s="639">
        <f>A2.6.2!K22/A2.6.2!K$29</f>
        <v>0.11461102491377521</v>
      </c>
      <c r="L22" s="640">
        <f>A2.6.2!L22/A2.6.2!L$29</f>
        <v>0.10780842610364071</v>
      </c>
    </row>
    <row r="23" spans="2:12" customFormat="1" ht="13.35" customHeight="1" x14ac:dyDescent="0.2">
      <c r="B23" s="631"/>
      <c r="C23" s="16" t="s">
        <v>37</v>
      </c>
      <c r="D23" s="338" t="s">
        <v>61</v>
      </c>
      <c r="E23" s="639">
        <f>A2.6.2!E23/A2.6.2!E$29</f>
        <v>5.3805220983724339E-2</v>
      </c>
      <c r="F23" s="640">
        <f>A2.6.2!F23/A2.6.2!F$29</f>
        <v>5.6005540230539864E-2</v>
      </c>
      <c r="G23" s="639">
        <f>A2.6.2!G23/A2.6.2!G$29</f>
        <v>5.4533297440929496E-2</v>
      </c>
      <c r="H23" s="640">
        <f>A2.6.2!H23/A2.6.2!H$29</f>
        <v>6.3377420326251682E-2</v>
      </c>
      <c r="I23" s="639">
        <f>A2.6.2!I23/A2.6.2!I$29</f>
        <v>6.2449451260756704E-2</v>
      </c>
      <c r="J23" s="640">
        <f>A2.6.2!J23/A2.6.2!J$29</f>
        <v>7.8304363057248416E-2</v>
      </c>
      <c r="K23" s="639">
        <f>A2.6.2!K23/A2.6.2!K$29</f>
        <v>6.8752532389884283E-2</v>
      </c>
      <c r="L23" s="640">
        <f>A2.6.2!L23/A2.6.2!L$29</f>
        <v>8.2992210929719645E-2</v>
      </c>
    </row>
    <row r="24" spans="2:12" customFormat="1" ht="13.35" customHeight="1" x14ac:dyDescent="0.2">
      <c r="B24" s="631"/>
      <c r="C24" s="16" t="s">
        <v>38</v>
      </c>
      <c r="D24" s="338" t="s">
        <v>62</v>
      </c>
      <c r="E24" s="639">
        <f>A2.6.2!E24/A2.6.2!E$29</f>
        <v>5.8101156559659119E-2</v>
      </c>
      <c r="F24" s="640">
        <f>A2.6.2!F24/A2.6.2!F$29</f>
        <v>7.8779042165034521E-2</v>
      </c>
      <c r="G24" s="639">
        <f>A2.6.2!G24/A2.6.2!G$29</f>
        <v>6.2351473470013921E-2</v>
      </c>
      <c r="H24" s="640">
        <f>A2.6.2!H24/A2.6.2!H$29</f>
        <v>8.889964275156545E-2</v>
      </c>
      <c r="I24" s="639">
        <f>A2.6.2!I24/A2.6.2!I$29</f>
        <v>6.9807891626150462E-2</v>
      </c>
      <c r="J24" s="640">
        <f>A2.6.2!J24/A2.6.2!J$29</f>
        <v>9.616954064455821E-2</v>
      </c>
      <c r="K24" s="639">
        <f>A2.6.2!K24/A2.6.2!K$29</f>
        <v>7.6931534060026285E-2</v>
      </c>
      <c r="L24" s="640">
        <f>A2.6.2!L24/A2.6.2!L$29</f>
        <v>0.10610326695607546</v>
      </c>
    </row>
    <row r="25" spans="2:12" customFormat="1" ht="13.35" customHeight="1" x14ac:dyDescent="0.2">
      <c r="B25" s="631"/>
      <c r="C25" s="16" t="s">
        <v>39</v>
      </c>
      <c r="D25" s="338" t="s">
        <v>63</v>
      </c>
      <c r="E25" s="639">
        <f>A2.6.2!E25/A2.6.2!E$29</f>
        <v>2.0759946512857869E-2</v>
      </c>
      <c r="F25" s="640">
        <f>A2.6.2!F25/A2.6.2!F$29</f>
        <v>4.8182935943827887E-2</v>
      </c>
      <c r="G25" s="639">
        <f>A2.6.2!G25/A2.6.2!G$29</f>
        <v>2.1244540157521339E-2</v>
      </c>
      <c r="H25" s="640">
        <f>A2.6.2!H25/A2.6.2!H$29</f>
        <v>4.7464283942730535E-2</v>
      </c>
      <c r="I25" s="639">
        <f>A2.6.2!I25/A2.6.2!I$29</f>
        <v>2.4427533459790669E-2</v>
      </c>
      <c r="J25" s="640">
        <f>A2.6.2!J25/A2.6.2!J$29</f>
        <v>4.878189661670608E-2</v>
      </c>
      <c r="K25" s="639">
        <f>A2.6.2!K25/A2.6.2!K$29</f>
        <v>2.8635770686537075E-2</v>
      </c>
      <c r="L25" s="640">
        <f>A2.6.2!L25/A2.6.2!L$29</f>
        <v>5.2822452765499579E-2</v>
      </c>
    </row>
    <row r="26" spans="2:12" customFormat="1" ht="13.35" customHeight="1" x14ac:dyDescent="0.2">
      <c r="B26" s="631"/>
      <c r="C26" s="16" t="s">
        <v>40</v>
      </c>
      <c r="D26" s="338" t="s">
        <v>64</v>
      </c>
      <c r="E26" s="639">
        <f>A2.6.2!E26/A2.6.2!E$29</f>
        <v>2.1333735817425231E-2</v>
      </c>
      <c r="F26" s="640">
        <f>A2.6.2!F26/A2.6.2!F$29</f>
        <v>0.13543554905450322</v>
      </c>
      <c r="G26" s="639">
        <f>A2.6.2!G26/A2.6.2!G$29</f>
        <v>1.9892785916283861E-2</v>
      </c>
      <c r="H26" s="640">
        <f>A2.6.2!H26/A2.6.2!H$29</f>
        <v>0.12249600561482574</v>
      </c>
      <c r="I26" s="639">
        <f>A2.6.2!I26/A2.6.2!I$29</f>
        <v>2.294234366127083E-2</v>
      </c>
      <c r="J26" s="640">
        <f>A2.6.2!J26/A2.6.2!J$29</f>
        <v>0.12161960986892283</v>
      </c>
      <c r="K26" s="639">
        <f>A2.6.2!K26/A2.6.2!K$29</f>
        <v>2.6070027374516993E-2</v>
      </c>
      <c r="L26" s="640">
        <f>A2.6.2!L26/A2.6.2!L$29</f>
        <v>0.12068119836204498</v>
      </c>
    </row>
    <row r="27" spans="2:12" customFormat="1" ht="13.35" customHeight="1" x14ac:dyDescent="0.2">
      <c r="B27" s="631"/>
      <c r="C27" s="16" t="s">
        <v>41</v>
      </c>
      <c r="D27" s="338" t="s">
        <v>65</v>
      </c>
      <c r="E27" s="639">
        <f>A2.6.2!E27/A2.6.2!E$29</f>
        <v>6.885471654808354E-3</v>
      </c>
      <c r="F27" s="640">
        <f>A2.6.2!F27/A2.6.2!F$29</f>
        <v>0.17569642565470098</v>
      </c>
      <c r="G27" s="639">
        <f>A2.6.2!G27/A2.6.2!G$29</f>
        <v>6.1856505642922683E-3</v>
      </c>
      <c r="H27" s="640">
        <f>A2.6.2!H27/A2.6.2!H$29</f>
        <v>0.18494712311094472</v>
      </c>
      <c r="I27" s="639">
        <f>A2.6.2!I27/A2.6.2!I$29</f>
        <v>7.1956254409570874E-3</v>
      </c>
      <c r="J27" s="640">
        <f>A2.6.2!J27/A2.6.2!J$29</f>
        <v>0.16512234772535367</v>
      </c>
      <c r="K27" s="639">
        <f>A2.6.2!K27/A2.6.2!K$29</f>
        <v>7.7886430343219121E-3</v>
      </c>
      <c r="L27" s="640">
        <f>A2.6.2!L27/A2.6.2!L$29</f>
        <v>0.17270558062700916</v>
      </c>
    </row>
    <row r="28" spans="2:12" customFormat="1" ht="13.35" customHeight="1" x14ac:dyDescent="0.2">
      <c r="B28" s="632"/>
      <c r="C28" s="280" t="s">
        <v>42</v>
      </c>
      <c r="D28" s="434" t="s">
        <v>66</v>
      </c>
      <c r="E28" s="641">
        <f>A2.6.2!E28/A2.6.2!E$29</f>
        <v>1.3384259213060443E-3</v>
      </c>
      <c r="F28" s="642">
        <f>A2.6.2!F28/A2.6.2!F$29</f>
        <v>7.7942031255844882E-2</v>
      </c>
      <c r="G28" s="641">
        <f>A2.6.2!G28/A2.6.2!G$29</f>
        <v>1.027564787236198E-3</v>
      </c>
      <c r="H28" s="642">
        <f>A2.6.2!H28/A2.6.2!H$29</f>
        <v>5.3527119357093193E-2</v>
      </c>
      <c r="I28" s="641">
        <f>A2.6.2!I28/A2.6.2!I$29</f>
        <v>1.2535425483050703E-3</v>
      </c>
      <c r="J28" s="642">
        <f>A2.6.2!J28/A2.6.2!J$29</f>
        <v>6.1043949887608862E-2</v>
      </c>
      <c r="K28" s="641">
        <f>A2.6.2!K28/A2.6.2!K$29</f>
        <v>1.4082558380851674E-3</v>
      </c>
      <c r="L28" s="642">
        <f>A2.6.2!L28/A2.6.2!L$29</f>
        <v>6.2674623669643659E-2</v>
      </c>
    </row>
    <row r="29" spans="2:12" customFormat="1" ht="13.35" customHeight="1" x14ac:dyDescent="0.2">
      <c r="B29" s="632"/>
      <c r="C29" s="635" t="s">
        <v>8</v>
      </c>
      <c r="D29" s="636"/>
      <c r="E29" s="643">
        <f>A2.6.2!E29/A2.6.2!E$29</f>
        <v>1</v>
      </c>
      <c r="F29" s="644">
        <f>A2.6.2!F29/A2.6.2!F$29</f>
        <v>1</v>
      </c>
      <c r="G29" s="643">
        <f>A2.6.2!G29/A2.6.2!G$29</f>
        <v>1</v>
      </c>
      <c r="H29" s="644">
        <f>A2.6.2!H29/A2.6.2!H$29</f>
        <v>1</v>
      </c>
      <c r="I29" s="643">
        <f>A2.6.2!I29/A2.6.2!I$29</f>
        <v>1</v>
      </c>
      <c r="J29" s="644">
        <f>A2.6.2!J29/A2.6.2!J$29</f>
        <v>1</v>
      </c>
      <c r="K29" s="643">
        <f>A2.6.2!K29/A2.6.2!K$29</f>
        <v>1</v>
      </c>
      <c r="L29" s="644">
        <f>A2.6.2!L29/A2.6.2!L$29</f>
        <v>1</v>
      </c>
    </row>
    <row r="30" spans="2:12" s="1" customFormat="1" ht="13.35" customHeight="1" x14ac:dyDescent="0.2"/>
    <row r="31" spans="2:12" s="1" customFormat="1" ht="13.35" customHeight="1" x14ac:dyDescent="0.2"/>
    <row r="32" spans="2:12" x14ac:dyDescent="0.2">
      <c r="G32" s="352" t="s">
        <v>371</v>
      </c>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379</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29">
        <v>202</v>
      </c>
      <c r="F4" s="630">
        <v>9.3894780000000004</v>
      </c>
      <c r="G4" s="629">
        <v>187</v>
      </c>
      <c r="H4" s="630">
        <v>8.6528109999999998</v>
      </c>
      <c r="I4" s="629">
        <v>174</v>
      </c>
      <c r="J4" s="630">
        <v>6.8813060000000004</v>
      </c>
      <c r="K4" s="629">
        <v>136</v>
      </c>
      <c r="L4" s="630">
        <v>7.075081</v>
      </c>
    </row>
    <row r="5" spans="1:12" ht="13.35" customHeight="1" x14ac:dyDescent="0.2">
      <c r="B5" s="145"/>
      <c r="C5" s="16" t="s">
        <v>19</v>
      </c>
      <c r="D5" s="339" t="s">
        <v>129</v>
      </c>
      <c r="E5" s="629">
        <v>2</v>
      </c>
      <c r="F5" s="630">
        <v>8.5800000000000001E-2</v>
      </c>
      <c r="G5" s="629">
        <v>4</v>
      </c>
      <c r="H5" s="630">
        <v>0.104771</v>
      </c>
      <c r="I5" s="629">
        <v>2</v>
      </c>
      <c r="J5" s="630">
        <v>7.6742000000000005E-2</v>
      </c>
      <c r="K5" s="629">
        <v>1</v>
      </c>
      <c r="L5" s="630">
        <v>2.7737000000000001E-2</v>
      </c>
    </row>
    <row r="6" spans="1:12" ht="13.35" customHeight="1" x14ac:dyDescent="0.2">
      <c r="B6" s="145"/>
      <c r="C6" s="16" t="s">
        <v>20</v>
      </c>
      <c r="D6" s="338" t="s">
        <v>44</v>
      </c>
      <c r="E6" s="629">
        <v>285</v>
      </c>
      <c r="F6" s="630">
        <v>2.5068980000000001</v>
      </c>
      <c r="G6" s="629">
        <v>338</v>
      </c>
      <c r="H6" s="630">
        <v>3.524213</v>
      </c>
      <c r="I6" s="629">
        <v>241</v>
      </c>
      <c r="J6" s="630">
        <v>2.5180020000000001</v>
      </c>
      <c r="K6" s="629">
        <v>162</v>
      </c>
      <c r="L6" s="630">
        <v>2.6893440000000002</v>
      </c>
    </row>
    <row r="7" spans="1:12" ht="13.35" customHeight="1" x14ac:dyDescent="0.2">
      <c r="B7" s="145"/>
      <c r="C7" s="16" t="s">
        <v>21</v>
      </c>
      <c r="D7" s="338" t="s">
        <v>45</v>
      </c>
      <c r="E7" s="629">
        <v>270</v>
      </c>
      <c r="F7" s="630">
        <v>3.1163370000000001</v>
      </c>
      <c r="G7" s="629">
        <v>279</v>
      </c>
      <c r="H7" s="630">
        <v>2.7566299999999999</v>
      </c>
      <c r="I7" s="629">
        <v>193</v>
      </c>
      <c r="J7" s="630">
        <v>2.077156</v>
      </c>
      <c r="K7" s="629">
        <v>169</v>
      </c>
      <c r="L7" s="630">
        <v>2.0730599999999999</v>
      </c>
    </row>
    <row r="8" spans="1:12" ht="13.35" customHeight="1" x14ac:dyDescent="0.2">
      <c r="B8" s="145"/>
      <c r="C8" s="16" t="s">
        <v>22</v>
      </c>
      <c r="D8" s="338" t="s">
        <v>46</v>
      </c>
      <c r="E8" s="629">
        <v>316</v>
      </c>
      <c r="F8" s="630">
        <v>4.5743239999999998</v>
      </c>
      <c r="G8" s="629">
        <v>322</v>
      </c>
      <c r="H8" s="630">
        <v>3.3788079999999998</v>
      </c>
      <c r="I8" s="629">
        <v>255</v>
      </c>
      <c r="J8" s="630">
        <v>3.2900849999999999</v>
      </c>
      <c r="K8" s="629">
        <v>193</v>
      </c>
      <c r="L8" s="630">
        <v>2.9489779999999999</v>
      </c>
    </row>
    <row r="9" spans="1:12" ht="13.35" customHeight="1" x14ac:dyDescent="0.2">
      <c r="B9" s="145"/>
      <c r="C9" s="16" t="s">
        <v>23</v>
      </c>
      <c r="D9" s="338" t="s">
        <v>47</v>
      </c>
      <c r="E9" s="629">
        <v>493</v>
      </c>
      <c r="F9" s="630">
        <v>7.7289060000000003</v>
      </c>
      <c r="G9" s="629">
        <v>467</v>
      </c>
      <c r="H9" s="630">
        <v>6.2276319999999998</v>
      </c>
      <c r="I9" s="629">
        <v>327</v>
      </c>
      <c r="J9" s="630">
        <v>4.5224320000000002</v>
      </c>
      <c r="K9" s="629">
        <v>254</v>
      </c>
      <c r="L9" s="630">
        <v>5.2711940000000004</v>
      </c>
    </row>
    <row r="10" spans="1:12" s="50" customFormat="1" ht="13.35" customHeight="1" x14ac:dyDescent="0.2">
      <c r="B10" s="145"/>
      <c r="C10" s="16" t="s">
        <v>24</v>
      </c>
      <c r="D10" s="338" t="s">
        <v>48</v>
      </c>
      <c r="E10" s="629">
        <v>572</v>
      </c>
      <c r="F10" s="630">
        <v>9.2517410000000009</v>
      </c>
      <c r="G10" s="629">
        <v>611</v>
      </c>
      <c r="H10" s="630">
        <v>9.7454710000000002</v>
      </c>
      <c r="I10" s="629">
        <v>493</v>
      </c>
      <c r="J10" s="630">
        <v>8.9464009999999998</v>
      </c>
      <c r="K10" s="629">
        <v>388</v>
      </c>
      <c r="L10" s="630">
        <v>7.3258070000000002</v>
      </c>
    </row>
    <row r="11" spans="1:12" s="1" customFormat="1" ht="13.35" customHeight="1" x14ac:dyDescent="0.2">
      <c r="B11" s="631"/>
      <c r="C11" s="16" t="s">
        <v>25</v>
      </c>
      <c r="D11" s="338" t="s">
        <v>49</v>
      </c>
      <c r="E11" s="629">
        <v>672</v>
      </c>
      <c r="F11" s="630">
        <v>11.618803</v>
      </c>
      <c r="G11" s="629">
        <v>643</v>
      </c>
      <c r="H11" s="630">
        <v>10.193413</v>
      </c>
      <c r="I11" s="629">
        <v>524</v>
      </c>
      <c r="J11" s="630">
        <v>8.6371129999999994</v>
      </c>
      <c r="K11" s="629">
        <v>399</v>
      </c>
      <c r="L11" s="630">
        <v>8.5014500000000002</v>
      </c>
    </row>
    <row r="12" spans="1:12" s="1" customFormat="1" ht="13.35" customHeight="1" x14ac:dyDescent="0.2">
      <c r="B12" s="631"/>
      <c r="C12" s="16" t="s">
        <v>26</v>
      </c>
      <c r="D12" s="338" t="s">
        <v>50</v>
      </c>
      <c r="E12" s="629">
        <v>827</v>
      </c>
      <c r="F12" s="630">
        <v>13.902825999999999</v>
      </c>
      <c r="G12" s="629">
        <v>750</v>
      </c>
      <c r="H12" s="630">
        <v>12.808907</v>
      </c>
      <c r="I12" s="629">
        <v>577</v>
      </c>
      <c r="J12" s="630">
        <v>9.663297</v>
      </c>
      <c r="K12" s="629">
        <v>481</v>
      </c>
      <c r="L12" s="630">
        <v>11.422829999999999</v>
      </c>
    </row>
    <row r="13" spans="1:12" s="1" customFormat="1" ht="13.35" customHeight="1" x14ac:dyDescent="0.2">
      <c r="B13" s="631"/>
      <c r="C13" s="16" t="s">
        <v>27</v>
      </c>
      <c r="D13" s="338" t="s">
        <v>51</v>
      </c>
      <c r="E13" s="629">
        <v>1008</v>
      </c>
      <c r="F13" s="630">
        <v>17.354727</v>
      </c>
      <c r="G13" s="629">
        <v>955</v>
      </c>
      <c r="H13" s="630">
        <v>17.145831000000001</v>
      </c>
      <c r="I13" s="629">
        <v>716</v>
      </c>
      <c r="J13" s="630">
        <v>14.037421</v>
      </c>
      <c r="K13" s="629">
        <v>514</v>
      </c>
      <c r="L13" s="630">
        <v>13.168839</v>
      </c>
    </row>
    <row r="14" spans="1:12" s="1" customFormat="1" ht="13.35" customHeight="1" x14ac:dyDescent="0.2">
      <c r="B14" s="631"/>
      <c r="C14" s="16" t="s">
        <v>28</v>
      </c>
      <c r="D14" s="338" t="s">
        <v>52</v>
      </c>
      <c r="E14" s="629">
        <v>1318</v>
      </c>
      <c r="F14" s="630">
        <v>24.383222</v>
      </c>
      <c r="G14" s="629">
        <v>1040</v>
      </c>
      <c r="H14" s="630">
        <v>20.120011000000002</v>
      </c>
      <c r="I14" s="629">
        <v>843</v>
      </c>
      <c r="J14" s="630">
        <v>17.262761999999999</v>
      </c>
      <c r="K14" s="629">
        <v>630</v>
      </c>
      <c r="L14" s="630">
        <v>17.185611000000002</v>
      </c>
    </row>
    <row r="15" spans="1:12" customFormat="1" ht="13.35" customHeight="1" x14ac:dyDescent="0.2">
      <c r="A15" s="1"/>
      <c r="B15" s="631"/>
      <c r="C15" s="16" t="s">
        <v>29</v>
      </c>
      <c r="D15" s="338" t="s">
        <v>53</v>
      </c>
      <c r="E15" s="629">
        <v>1656</v>
      </c>
      <c r="F15" s="630">
        <v>31.057258999999998</v>
      </c>
      <c r="G15" s="629">
        <v>1295</v>
      </c>
      <c r="H15" s="630">
        <v>25.497226000000001</v>
      </c>
      <c r="I15" s="629">
        <v>966</v>
      </c>
      <c r="J15" s="630">
        <v>19.902114000000001</v>
      </c>
      <c r="K15" s="629">
        <v>837</v>
      </c>
      <c r="L15" s="630">
        <v>23.905771999999999</v>
      </c>
    </row>
    <row r="16" spans="1:12" customFormat="1" ht="13.35" customHeight="1" x14ac:dyDescent="0.2">
      <c r="A16" s="1"/>
      <c r="B16" s="631"/>
      <c r="C16" s="16" t="s">
        <v>30</v>
      </c>
      <c r="D16" s="338" t="s">
        <v>54</v>
      </c>
      <c r="E16" s="629">
        <v>1896</v>
      </c>
      <c r="F16" s="630">
        <v>37.331234000000002</v>
      </c>
      <c r="G16" s="629">
        <v>1577</v>
      </c>
      <c r="H16" s="630">
        <v>32.653289999999998</v>
      </c>
      <c r="I16" s="629">
        <v>1172</v>
      </c>
      <c r="J16" s="630">
        <v>24.524159999999998</v>
      </c>
      <c r="K16" s="629">
        <v>931</v>
      </c>
      <c r="L16" s="630">
        <v>28.122878</v>
      </c>
    </row>
    <row r="17" spans="1:12" customFormat="1" ht="13.35" customHeight="1" x14ac:dyDescent="0.2">
      <c r="A17" s="1"/>
      <c r="B17" s="631"/>
      <c r="C17" s="16" t="s">
        <v>31</v>
      </c>
      <c r="D17" s="338" t="s">
        <v>55</v>
      </c>
      <c r="E17" s="629">
        <v>2152</v>
      </c>
      <c r="F17" s="630">
        <v>45.711064</v>
      </c>
      <c r="G17" s="629">
        <v>1811</v>
      </c>
      <c r="H17" s="630">
        <v>39.578048000000003</v>
      </c>
      <c r="I17" s="629">
        <v>1334</v>
      </c>
      <c r="J17" s="630">
        <v>30.768636999999998</v>
      </c>
      <c r="K17" s="629">
        <v>1091</v>
      </c>
      <c r="L17" s="630">
        <v>37.580595000000002</v>
      </c>
    </row>
    <row r="18" spans="1:12" customFormat="1" ht="13.35" customHeight="1" x14ac:dyDescent="0.2">
      <c r="A18" s="1"/>
      <c r="B18" s="631"/>
      <c r="C18" s="16" t="s">
        <v>32</v>
      </c>
      <c r="D18" s="338" t="s">
        <v>56</v>
      </c>
      <c r="E18" s="629">
        <v>2352</v>
      </c>
      <c r="F18" s="630">
        <v>53.283054</v>
      </c>
      <c r="G18" s="629">
        <v>2064</v>
      </c>
      <c r="H18" s="630">
        <v>48.692515</v>
      </c>
      <c r="I18" s="629">
        <v>1637</v>
      </c>
      <c r="J18" s="630">
        <v>38.792523000000003</v>
      </c>
      <c r="K18" s="629">
        <v>1241</v>
      </c>
      <c r="L18" s="630">
        <v>43.309891</v>
      </c>
    </row>
    <row r="19" spans="1:12" customFormat="1" ht="13.35" customHeight="1" x14ac:dyDescent="0.2">
      <c r="A19" s="1"/>
      <c r="B19" s="631"/>
      <c r="C19" s="16" t="s">
        <v>33</v>
      </c>
      <c r="D19" s="338" t="s">
        <v>57</v>
      </c>
      <c r="E19" s="629">
        <v>2664</v>
      </c>
      <c r="F19" s="630">
        <v>64.242524000000003</v>
      </c>
      <c r="G19" s="629">
        <v>2209</v>
      </c>
      <c r="H19" s="630">
        <v>55.526693000000002</v>
      </c>
      <c r="I19" s="629">
        <v>1832</v>
      </c>
      <c r="J19" s="630">
        <v>46.145321000000003</v>
      </c>
      <c r="K19" s="629">
        <v>1511</v>
      </c>
      <c r="L19" s="630">
        <v>54.446778000000002</v>
      </c>
    </row>
    <row r="20" spans="1:12" customFormat="1" ht="13.35" customHeight="1" x14ac:dyDescent="0.2">
      <c r="A20" s="1"/>
      <c r="B20" s="631"/>
      <c r="C20" s="16" t="s">
        <v>34</v>
      </c>
      <c r="D20" s="338" t="s">
        <v>58</v>
      </c>
      <c r="E20" s="629">
        <v>14514</v>
      </c>
      <c r="F20" s="630">
        <v>391.097419</v>
      </c>
      <c r="G20" s="629">
        <v>12592</v>
      </c>
      <c r="H20" s="630">
        <v>352.701165</v>
      </c>
      <c r="I20" s="629">
        <v>10909</v>
      </c>
      <c r="J20" s="630">
        <v>309.43832400000002</v>
      </c>
      <c r="K20" s="629">
        <v>9429</v>
      </c>
      <c r="L20" s="630">
        <v>389.28753599999999</v>
      </c>
    </row>
    <row r="21" spans="1:12" customFormat="1" ht="13.35" customHeight="1" x14ac:dyDescent="0.2">
      <c r="A21" s="1"/>
      <c r="B21" s="631"/>
      <c r="C21" s="16" t="s">
        <v>35</v>
      </c>
      <c r="D21" s="338" t="s">
        <v>59</v>
      </c>
      <c r="E21" s="629">
        <v>26320</v>
      </c>
      <c r="F21" s="630">
        <v>861.20854499999996</v>
      </c>
      <c r="G21" s="629">
        <v>24671</v>
      </c>
      <c r="H21" s="630">
        <v>843.001667</v>
      </c>
      <c r="I21" s="629">
        <v>23523</v>
      </c>
      <c r="J21" s="630">
        <v>820.164985</v>
      </c>
      <c r="K21" s="629">
        <v>20987</v>
      </c>
      <c r="L21" s="630">
        <v>1072.9055020000001</v>
      </c>
    </row>
    <row r="22" spans="1:12" customFormat="1" ht="13.35" customHeight="1" x14ac:dyDescent="0.2">
      <c r="A22" s="1"/>
      <c r="B22" s="631"/>
      <c r="C22" s="16" t="s">
        <v>36</v>
      </c>
      <c r="D22" s="338" t="s">
        <v>60</v>
      </c>
      <c r="E22" s="629">
        <v>17014</v>
      </c>
      <c r="F22" s="630">
        <v>691.87144699999999</v>
      </c>
      <c r="G22" s="629">
        <v>16634</v>
      </c>
      <c r="H22" s="630">
        <v>701.041428</v>
      </c>
      <c r="I22" s="629">
        <v>16944</v>
      </c>
      <c r="J22" s="630">
        <v>720.59137499999997</v>
      </c>
      <c r="K22" s="629">
        <v>16172</v>
      </c>
      <c r="L22" s="630">
        <v>977.78790100000003</v>
      </c>
    </row>
    <row r="23" spans="1:12" customFormat="1" ht="13.35" customHeight="1" x14ac:dyDescent="0.2">
      <c r="A23" s="1"/>
      <c r="B23" s="631"/>
      <c r="C23" s="16" t="s">
        <v>37</v>
      </c>
      <c r="D23" s="338" t="s">
        <v>61</v>
      </c>
      <c r="E23" s="629">
        <v>9921</v>
      </c>
      <c r="F23" s="630">
        <v>463.33155399999998</v>
      </c>
      <c r="G23" s="629">
        <v>10007</v>
      </c>
      <c r="H23" s="630">
        <v>482.59659699999997</v>
      </c>
      <c r="I23" s="629">
        <v>10543</v>
      </c>
      <c r="J23" s="630">
        <v>516.69578300000001</v>
      </c>
      <c r="K23" s="629">
        <v>10743</v>
      </c>
      <c r="L23" s="630">
        <v>732.19511</v>
      </c>
    </row>
    <row r="24" spans="1:12" customFormat="1" ht="13.35" customHeight="1" x14ac:dyDescent="0.2">
      <c r="A24" s="1"/>
      <c r="B24" s="631"/>
      <c r="C24" s="16" t="s">
        <v>38</v>
      </c>
      <c r="D24" s="338" t="s">
        <v>62</v>
      </c>
      <c r="E24" s="629">
        <v>11551</v>
      </c>
      <c r="F24" s="630">
        <v>635.90982799999995</v>
      </c>
      <c r="G24" s="629">
        <v>11217</v>
      </c>
      <c r="H24" s="630">
        <v>640.61874899999998</v>
      </c>
      <c r="I24" s="629">
        <v>12108</v>
      </c>
      <c r="J24" s="630">
        <v>700.04508199999998</v>
      </c>
      <c r="K24" s="629">
        <v>12449</v>
      </c>
      <c r="L24" s="630">
        <v>986.96560399999998</v>
      </c>
    </row>
    <row r="25" spans="1:12" customFormat="1" ht="13.35" customHeight="1" x14ac:dyDescent="0.2">
      <c r="A25" s="1"/>
      <c r="B25" s="631"/>
      <c r="C25" s="16" t="s">
        <v>39</v>
      </c>
      <c r="D25" s="338" t="s">
        <v>63</v>
      </c>
      <c r="E25" s="629">
        <v>4621</v>
      </c>
      <c r="F25" s="630">
        <v>306.95622600000002</v>
      </c>
      <c r="G25" s="629">
        <v>4566</v>
      </c>
      <c r="H25" s="630">
        <v>324.51360099999999</v>
      </c>
      <c r="I25" s="629">
        <v>4861</v>
      </c>
      <c r="J25" s="630">
        <v>345.85720099999998</v>
      </c>
      <c r="K25" s="629">
        <v>4920</v>
      </c>
      <c r="L25" s="630">
        <v>481.18565999999998</v>
      </c>
    </row>
    <row r="26" spans="1:12" customFormat="1" ht="13.35" customHeight="1" x14ac:dyDescent="0.2">
      <c r="A26" s="1"/>
      <c r="B26" s="631"/>
      <c r="C26" s="16" t="s">
        <v>40</v>
      </c>
      <c r="D26" s="338" t="s">
        <v>64</v>
      </c>
      <c r="E26" s="629">
        <v>5133</v>
      </c>
      <c r="F26" s="630">
        <v>416.50581</v>
      </c>
      <c r="G26" s="629">
        <v>4885</v>
      </c>
      <c r="H26" s="630">
        <v>428.011459</v>
      </c>
      <c r="I26" s="629">
        <v>5581</v>
      </c>
      <c r="J26" s="630">
        <v>487.67694599999999</v>
      </c>
      <c r="K26" s="629">
        <v>5568</v>
      </c>
      <c r="L26" s="630">
        <v>684.50137700000005</v>
      </c>
    </row>
    <row r="27" spans="1:12" customFormat="1" ht="13.35" customHeight="1" x14ac:dyDescent="0.2">
      <c r="A27" s="1"/>
      <c r="B27" s="631"/>
      <c r="C27" s="16" t="s">
        <v>41</v>
      </c>
      <c r="D27" s="338" t="s">
        <v>65</v>
      </c>
      <c r="E27" s="629">
        <v>1649</v>
      </c>
      <c r="F27" s="630">
        <v>167.574555</v>
      </c>
      <c r="G27" s="629">
        <v>1626</v>
      </c>
      <c r="H27" s="630">
        <v>183.07136299999999</v>
      </c>
      <c r="I27" s="629">
        <v>1792</v>
      </c>
      <c r="J27" s="630">
        <v>202.77693500000001</v>
      </c>
      <c r="K27" s="629">
        <v>1836</v>
      </c>
      <c r="L27" s="630">
        <v>291.76466099999999</v>
      </c>
    </row>
    <row r="28" spans="1:12" customFormat="1" ht="13.35" customHeight="1" x14ac:dyDescent="0.2">
      <c r="A28" s="1"/>
      <c r="B28" s="632"/>
      <c r="C28" s="280" t="s">
        <v>42</v>
      </c>
      <c r="D28" s="434" t="s">
        <v>66</v>
      </c>
      <c r="E28" s="633">
        <v>319</v>
      </c>
      <c r="F28" s="634">
        <v>42.692872000000001</v>
      </c>
      <c r="G28" s="633">
        <v>301</v>
      </c>
      <c r="H28" s="634">
        <v>43.896245999999998</v>
      </c>
      <c r="I28" s="633">
        <v>301</v>
      </c>
      <c r="J28" s="634">
        <v>46.246766000000001</v>
      </c>
      <c r="K28" s="633">
        <v>316</v>
      </c>
      <c r="L28" s="634">
        <v>64.582558000000006</v>
      </c>
    </row>
    <row r="29" spans="1:12" customFormat="1" ht="13.35" customHeight="1" x14ac:dyDescent="0.2">
      <c r="A29" s="1"/>
      <c r="B29" s="632"/>
      <c r="C29" s="635" t="s">
        <v>8</v>
      </c>
      <c r="D29" s="636"/>
      <c r="E29" s="637">
        <f t="shared" ref="E29:L29" si="0">SUM(E4:E28)</f>
        <v>107727</v>
      </c>
      <c r="F29" s="638">
        <f t="shared" si="0"/>
        <v>4312.6864529999993</v>
      </c>
      <c r="G29" s="637">
        <f t="shared" si="0"/>
        <v>101051</v>
      </c>
      <c r="H29" s="638">
        <f t="shared" si="0"/>
        <v>4296.0585449999999</v>
      </c>
      <c r="I29" s="637">
        <f t="shared" si="0"/>
        <v>97848</v>
      </c>
      <c r="J29" s="638">
        <f t="shared" si="0"/>
        <v>4387.538869</v>
      </c>
      <c r="K29" s="637">
        <f t="shared" si="0"/>
        <v>91358</v>
      </c>
      <c r="L29" s="638">
        <f t="shared" si="0"/>
        <v>5946.2317539999995</v>
      </c>
    </row>
    <row r="30" spans="1:12" s="1" customFormat="1" ht="12"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273</v>
      </c>
      <c r="E34" s="84">
        <f>A2.6.1!E5-E29</f>
        <v>0</v>
      </c>
      <c r="F34" s="84">
        <f>A2.6.1!F5-F29</f>
        <v>0</v>
      </c>
      <c r="G34" s="84">
        <f>A2.6.1!G5-G29</f>
        <v>0</v>
      </c>
      <c r="H34" s="84">
        <f>A2.6.1!H5-H29</f>
        <v>0</v>
      </c>
      <c r="I34" s="84">
        <f>A2.6.1!I5-I29</f>
        <v>0</v>
      </c>
      <c r="J34" s="84">
        <f>A2.6.1!J5-J29</f>
        <v>0</v>
      </c>
      <c r="K34" s="84">
        <f>A2.6.1!K5-K29</f>
        <v>0</v>
      </c>
      <c r="L34" s="107">
        <f>A2.6.1!L5-L29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15" customHeight="1" x14ac:dyDescent="0.2">
      <c r="A1" s="69"/>
      <c r="B1" s="439" t="s">
        <v>431</v>
      </c>
      <c r="C1" s="311"/>
      <c r="D1" s="311"/>
      <c r="E1" s="311"/>
      <c r="F1" s="311"/>
      <c r="G1" s="311"/>
      <c r="H1" s="311"/>
      <c r="I1" s="311"/>
      <c r="J1" s="311"/>
      <c r="K1" s="311"/>
      <c r="L1" s="311"/>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A2.6.3!E4/A2.6.3!E$29</f>
        <v>1.8751102323465798E-3</v>
      </c>
      <c r="F4" s="640">
        <f>A2.6.3!F4/A2.6.3!F$29</f>
        <v>2.1771761296183433E-3</v>
      </c>
      <c r="G4" s="639">
        <f>A2.6.3!G4/A2.6.3!G$29</f>
        <v>1.8505507120167043E-3</v>
      </c>
      <c r="H4" s="640">
        <f>A2.6.3!H4/A2.6.3!H$29</f>
        <v>2.0141278125901333E-3</v>
      </c>
      <c r="I4" s="639">
        <f>A2.6.3!I4/A2.6.3!I$29</f>
        <v>1.7782683345597254E-3</v>
      </c>
      <c r="J4" s="640">
        <f>A2.6.3!J4/A2.6.3!J$29</f>
        <v>1.5683749376261082E-3</v>
      </c>
      <c r="K4" s="639">
        <f>A2.6.3!K4/A2.6.3!K$29</f>
        <v>1.4886490509862301E-3</v>
      </c>
      <c r="L4" s="640">
        <f>A2.6.3!L4/A2.6.3!L$29</f>
        <v>1.1898427933355658E-3</v>
      </c>
    </row>
    <row r="5" spans="1:12" ht="13.35" customHeight="1" x14ac:dyDescent="0.2">
      <c r="B5" s="145"/>
      <c r="C5" s="16" t="s">
        <v>19</v>
      </c>
      <c r="D5" s="339" t="s">
        <v>129</v>
      </c>
      <c r="E5" s="639">
        <f>A2.6.3!E5/A2.6.3!E$29</f>
        <v>1.8565447845015642E-5</v>
      </c>
      <c r="F5" s="640">
        <f>A2.6.3!F5/A2.6.3!F$29</f>
        <v>1.9894792013065462E-5</v>
      </c>
      <c r="G5" s="639">
        <f>A2.6.3!G5/A2.6.3!G$29</f>
        <v>3.9583972449555177E-5</v>
      </c>
      <c r="H5" s="640">
        <f>A2.6.3!H5/A2.6.3!H$29</f>
        <v>2.4387703031174592E-5</v>
      </c>
      <c r="I5" s="639">
        <f>A2.6.3!I5/A2.6.3!I$29</f>
        <v>2.0439865914479601E-5</v>
      </c>
      <c r="J5" s="640">
        <f>A2.6.3!J5/A2.6.3!J$29</f>
        <v>1.7490899178630161E-5</v>
      </c>
      <c r="K5" s="639">
        <f>A2.6.3!K5/A2.6.3!K$29</f>
        <v>1.0945948904310514E-5</v>
      </c>
      <c r="L5" s="640">
        <f>A2.6.3!L5/A2.6.3!L$29</f>
        <v>4.6646348725546165E-6</v>
      </c>
    </row>
    <row r="6" spans="1:12" ht="13.35" customHeight="1" x14ac:dyDescent="0.2">
      <c r="B6" s="145"/>
      <c r="C6" s="16" t="s">
        <v>20</v>
      </c>
      <c r="D6" s="338" t="s">
        <v>44</v>
      </c>
      <c r="E6" s="639">
        <f>A2.6.3!E6/A2.6.3!E$29</f>
        <v>2.645576317914729E-3</v>
      </c>
      <c r="F6" s="640">
        <f>A2.6.3!F6/A2.6.3!F$29</f>
        <v>5.8128454904393678E-4</v>
      </c>
      <c r="G6" s="639">
        <f>A2.6.3!G6/A2.6.3!G$29</f>
        <v>3.3448456719874123E-3</v>
      </c>
      <c r="H6" s="640">
        <f>A2.6.3!H6/A2.6.3!H$29</f>
        <v>8.2033635321419949E-4</v>
      </c>
      <c r="I6" s="639">
        <f>A2.6.3!I6/A2.6.3!I$29</f>
        <v>2.4630038426947921E-3</v>
      </c>
      <c r="J6" s="640">
        <f>A2.6.3!J6/A2.6.3!J$29</f>
        <v>5.7389850555874362E-4</v>
      </c>
      <c r="K6" s="639">
        <f>A2.6.3!K6/A2.6.3!K$29</f>
        <v>1.7732437224983035E-3</v>
      </c>
      <c r="L6" s="640">
        <f>A2.6.3!L6/A2.6.3!L$29</f>
        <v>4.5227702371184781E-4</v>
      </c>
    </row>
    <row r="7" spans="1:12" ht="13.35" customHeight="1" x14ac:dyDescent="0.2">
      <c r="B7" s="145"/>
      <c r="C7" s="16" t="s">
        <v>21</v>
      </c>
      <c r="D7" s="338" t="s">
        <v>45</v>
      </c>
      <c r="E7" s="639">
        <f>A2.6.3!E7/A2.6.3!E$29</f>
        <v>2.5063354590771116E-3</v>
      </c>
      <c r="F7" s="640">
        <f>A2.6.3!F7/A2.6.3!F$29</f>
        <v>7.2259762771119331E-4</v>
      </c>
      <c r="G7" s="639">
        <f>A2.6.3!G7/A2.6.3!G$29</f>
        <v>2.7609820783564736E-3</v>
      </c>
      <c r="H7" s="640">
        <f>A2.6.3!H7/A2.6.3!H$29</f>
        <v>6.4166490543019362E-4</v>
      </c>
      <c r="I7" s="639">
        <f>A2.6.3!I7/A2.6.3!I$29</f>
        <v>1.9724470607472813E-3</v>
      </c>
      <c r="J7" s="640">
        <f>A2.6.3!J7/A2.6.3!J$29</f>
        <v>4.7342167488841454E-4</v>
      </c>
      <c r="K7" s="639">
        <f>A2.6.3!K7/A2.6.3!K$29</f>
        <v>1.8498653648284769E-3</v>
      </c>
      <c r="L7" s="640">
        <f>A2.6.3!L7/A2.6.3!L$29</f>
        <v>3.4863424194750956E-4</v>
      </c>
    </row>
    <row r="8" spans="1:12" ht="13.35" customHeight="1" x14ac:dyDescent="0.2">
      <c r="B8" s="145"/>
      <c r="C8" s="16" t="s">
        <v>22</v>
      </c>
      <c r="D8" s="338" t="s">
        <v>46</v>
      </c>
      <c r="E8" s="639">
        <f>A2.6.3!E8/A2.6.3!E$29</f>
        <v>2.9333407595124711E-3</v>
      </c>
      <c r="F8" s="640">
        <f>A2.6.3!F8/A2.6.3!F$29</f>
        <v>1.060666953151208E-3</v>
      </c>
      <c r="G8" s="639">
        <f>A2.6.3!G8/A2.6.3!G$29</f>
        <v>3.1865097821891916E-3</v>
      </c>
      <c r="H8" s="640">
        <f>A2.6.3!H8/A2.6.3!H$29</f>
        <v>7.8649021297264466E-4</v>
      </c>
      <c r="I8" s="639">
        <f>A2.6.3!I8/A2.6.3!I$29</f>
        <v>2.6060829040961491E-3</v>
      </c>
      <c r="J8" s="640">
        <f>A2.6.3!J8/A2.6.3!J$29</f>
        <v>7.4987027995261277E-4</v>
      </c>
      <c r="K8" s="639">
        <f>A2.6.3!K8/A2.6.3!K$29</f>
        <v>2.1125681385319294E-3</v>
      </c>
      <c r="L8" s="640">
        <f>A2.6.3!L8/A2.6.3!L$29</f>
        <v>4.9594064308311524E-4</v>
      </c>
    </row>
    <row r="9" spans="1:12" ht="13.35" customHeight="1" x14ac:dyDescent="0.2">
      <c r="B9" s="145"/>
      <c r="C9" s="16" t="s">
        <v>23</v>
      </c>
      <c r="D9" s="338" t="s">
        <v>47</v>
      </c>
      <c r="E9" s="639">
        <f>A2.6.3!E9/A2.6.3!E$29</f>
        <v>4.5763828937963559E-3</v>
      </c>
      <c r="F9" s="640">
        <f>A2.6.3!F9/A2.6.3!F$29</f>
        <v>1.7921326032463139E-3</v>
      </c>
      <c r="G9" s="639">
        <f>A2.6.3!G9/A2.6.3!G$29</f>
        <v>4.6214287834855667E-3</v>
      </c>
      <c r="H9" s="640">
        <f>A2.6.3!H9/A2.6.3!H$29</f>
        <v>1.4496152542539432E-3</v>
      </c>
      <c r="I9" s="639">
        <f>A2.6.3!I9/A2.6.3!I$29</f>
        <v>3.3419180770174147E-3</v>
      </c>
      <c r="J9" s="640">
        <f>A2.6.3!J9/A2.6.3!J$29</f>
        <v>1.0307446007950113E-3</v>
      </c>
      <c r="K9" s="639">
        <f>A2.6.3!K9/A2.6.3!K$29</f>
        <v>2.7802710216948707E-3</v>
      </c>
      <c r="L9" s="640">
        <f>A2.6.3!L9/A2.6.3!L$29</f>
        <v>8.8647638001228182E-4</v>
      </c>
    </row>
    <row r="10" spans="1:12" s="50" customFormat="1" ht="13.35" customHeight="1" x14ac:dyDescent="0.2">
      <c r="B10" s="145"/>
      <c r="C10" s="16" t="s">
        <v>24</v>
      </c>
      <c r="D10" s="338" t="s">
        <v>48</v>
      </c>
      <c r="E10" s="639">
        <f>A2.6.3!E10/A2.6.3!E$29</f>
        <v>5.3097180836744733E-3</v>
      </c>
      <c r="F10" s="640">
        <f>A2.6.3!F10/A2.6.3!F$29</f>
        <v>2.1452384959644555E-3</v>
      </c>
      <c r="G10" s="639">
        <f>A2.6.3!G10/A2.6.3!G$29</f>
        <v>6.0464517916695533E-3</v>
      </c>
      <c r="H10" s="640">
        <f>A2.6.3!H10/A2.6.3!H$29</f>
        <v>2.268467921914691E-3</v>
      </c>
      <c r="I10" s="639">
        <f>A2.6.3!I10/A2.6.3!I$29</f>
        <v>5.0384269479192218E-3</v>
      </c>
      <c r="J10" s="640">
        <f>A2.6.3!J10/A2.6.3!J$29</f>
        <v>2.0390476909983588E-3</v>
      </c>
      <c r="K10" s="639">
        <f>A2.6.3!K10/A2.6.3!K$29</f>
        <v>4.2470281748724801E-3</v>
      </c>
      <c r="L10" s="640">
        <f>A2.6.3!L10/A2.6.3!L$29</f>
        <v>1.2320083210803157E-3</v>
      </c>
    </row>
    <row r="11" spans="1:12" s="1" customFormat="1" ht="13.35" customHeight="1" x14ac:dyDescent="0.2">
      <c r="B11" s="631"/>
      <c r="C11" s="16" t="s">
        <v>25</v>
      </c>
      <c r="D11" s="338" t="s">
        <v>49</v>
      </c>
      <c r="E11" s="639">
        <f>A2.6.3!E11/A2.6.3!E$29</f>
        <v>6.2379904759252555E-3</v>
      </c>
      <c r="F11" s="640">
        <f>A2.6.3!F11/A2.6.3!F$29</f>
        <v>2.6940987077596853E-3</v>
      </c>
      <c r="G11" s="639">
        <f>A2.6.3!G11/A2.6.3!G$29</f>
        <v>6.3631235712659946E-3</v>
      </c>
      <c r="H11" s="640">
        <f>A2.6.3!H11/A2.6.3!H$29</f>
        <v>2.3727360540427645E-3</v>
      </c>
      <c r="I11" s="639">
        <f>A2.6.3!I11/A2.6.3!I$29</f>
        <v>5.3552448695936552E-3</v>
      </c>
      <c r="J11" s="640">
        <f>A2.6.3!J11/A2.6.3!J$29</f>
        <v>1.9685553240394553E-3</v>
      </c>
      <c r="K11" s="639">
        <f>A2.6.3!K11/A2.6.3!K$29</f>
        <v>4.3674336128198951E-3</v>
      </c>
      <c r="L11" s="640">
        <f>A2.6.3!L11/A2.6.3!L$29</f>
        <v>1.42972059477519E-3</v>
      </c>
    </row>
    <row r="12" spans="1:12" s="1" customFormat="1" ht="13.35" customHeight="1" x14ac:dyDescent="0.2">
      <c r="B12" s="631"/>
      <c r="C12" s="16" t="s">
        <v>26</v>
      </c>
      <c r="D12" s="338" t="s">
        <v>50</v>
      </c>
      <c r="E12" s="639">
        <f>A2.6.3!E12/A2.6.3!E$29</f>
        <v>7.6768126839139679E-3</v>
      </c>
      <c r="F12" s="640">
        <f>A2.6.3!F12/A2.6.3!F$29</f>
        <v>3.223704331746373E-3</v>
      </c>
      <c r="G12" s="639">
        <f>A2.6.3!G12/A2.6.3!G$29</f>
        <v>7.4219948342915953E-3</v>
      </c>
      <c r="H12" s="640">
        <f>A2.6.3!H12/A2.6.3!H$29</f>
        <v>2.9815485207732428E-3</v>
      </c>
      <c r="I12" s="639">
        <f>A2.6.3!I12/A2.6.3!I$29</f>
        <v>5.8969013163273649E-3</v>
      </c>
      <c r="J12" s="640">
        <f>A2.6.3!J12/A2.6.3!J$29</f>
        <v>2.2024413432039729E-3</v>
      </c>
      <c r="K12" s="639">
        <f>A2.6.3!K12/A2.6.3!K$29</f>
        <v>5.2650014229733578E-3</v>
      </c>
      <c r="L12" s="640">
        <f>A2.6.3!L12/A2.6.3!L$29</f>
        <v>1.9210199791348396E-3</v>
      </c>
    </row>
    <row r="13" spans="1:12" s="1" customFormat="1" ht="13.35" customHeight="1" x14ac:dyDescent="0.2">
      <c r="B13" s="631"/>
      <c r="C13" s="16" t="s">
        <v>27</v>
      </c>
      <c r="D13" s="338" t="s">
        <v>51</v>
      </c>
      <c r="E13" s="639">
        <f>A2.6.3!E13/A2.6.3!E$29</f>
        <v>9.3569857138878828E-3</v>
      </c>
      <c r="F13" s="640">
        <f>A2.6.3!F13/A2.6.3!F$29</f>
        <v>4.0241105373954719E-3</v>
      </c>
      <c r="G13" s="639">
        <f>A2.6.3!G13/A2.6.3!G$29</f>
        <v>9.4506734223312981E-3</v>
      </c>
      <c r="H13" s="640">
        <f>A2.6.3!H13/A2.6.3!H$29</f>
        <v>3.9910608341116082E-3</v>
      </c>
      <c r="I13" s="639">
        <f>A2.6.3!I13/A2.6.3!I$29</f>
        <v>7.3174719973836972E-3</v>
      </c>
      <c r="J13" s="640">
        <f>A2.6.3!J13/A2.6.3!J$29</f>
        <v>3.1993838502903985E-3</v>
      </c>
      <c r="K13" s="639">
        <f>A2.6.3!K13/A2.6.3!K$29</f>
        <v>5.6262177368156044E-3</v>
      </c>
      <c r="L13" s="640">
        <f>A2.6.3!L13/A2.6.3!L$29</f>
        <v>2.2146528330553869E-3</v>
      </c>
    </row>
    <row r="14" spans="1:12" s="1" customFormat="1" ht="13.35" customHeight="1" x14ac:dyDescent="0.2">
      <c r="B14" s="631"/>
      <c r="C14" s="16" t="s">
        <v>28</v>
      </c>
      <c r="D14" s="338" t="s">
        <v>52</v>
      </c>
      <c r="E14" s="639">
        <f>A2.6.3!E14/A2.6.3!E$29</f>
        <v>1.2234630129865308E-2</v>
      </c>
      <c r="F14" s="640">
        <f>A2.6.3!F14/A2.6.3!F$29</f>
        <v>5.6538360174638929E-3</v>
      </c>
      <c r="G14" s="639">
        <f>A2.6.3!G14/A2.6.3!G$29</f>
        <v>1.0291832836884346E-2</v>
      </c>
      <c r="H14" s="640">
        <f>A2.6.3!H14/A2.6.3!H$29</f>
        <v>4.6833651797917953E-3</v>
      </c>
      <c r="I14" s="639">
        <f>A2.6.3!I14/A2.6.3!I$29</f>
        <v>8.6154034829531521E-3</v>
      </c>
      <c r="J14" s="640">
        <f>A2.6.3!J14/A2.6.3!J$29</f>
        <v>3.934497793733391E-3</v>
      </c>
      <c r="K14" s="639">
        <f>A2.6.3!K14/A2.6.3!K$29</f>
        <v>6.8959478097156239E-3</v>
      </c>
      <c r="L14" s="640">
        <f>A2.6.3!L14/A2.6.3!L$29</f>
        <v>2.8901683807462312E-3</v>
      </c>
    </row>
    <row r="15" spans="1:12" customFormat="1" ht="13.35" customHeight="1" x14ac:dyDescent="0.2">
      <c r="A15" s="1"/>
      <c r="B15" s="631"/>
      <c r="C15" s="16" t="s">
        <v>29</v>
      </c>
      <c r="D15" s="338" t="s">
        <v>53</v>
      </c>
      <c r="E15" s="639">
        <f>A2.6.3!E15/A2.6.3!E$29</f>
        <v>1.5372190815672952E-2</v>
      </c>
      <c r="F15" s="640">
        <f>A2.6.3!F15/A2.6.3!F$29</f>
        <v>7.2013718916189434E-3</v>
      </c>
      <c r="G15" s="639">
        <f>A2.6.3!G15/A2.6.3!G$29</f>
        <v>1.2815311080543488E-2</v>
      </c>
      <c r="H15" s="640">
        <f>A2.6.3!H15/A2.6.3!H$29</f>
        <v>5.9350275916689125E-3</v>
      </c>
      <c r="I15" s="639">
        <f>A2.6.3!I15/A2.6.3!I$29</f>
        <v>9.8724552366936478E-3</v>
      </c>
      <c r="J15" s="640">
        <f>A2.6.3!J15/A2.6.3!J$29</f>
        <v>4.5360541739282766E-3</v>
      </c>
      <c r="K15" s="639">
        <f>A2.6.3!K15/A2.6.3!K$29</f>
        <v>9.1617592329079015E-3</v>
      </c>
      <c r="L15" s="640">
        <f>A2.6.3!L15/A2.6.3!L$29</f>
        <v>4.0203229522493313E-3</v>
      </c>
    </row>
    <row r="16" spans="1:12" customFormat="1" ht="13.35" customHeight="1" x14ac:dyDescent="0.2">
      <c r="A16" s="1"/>
      <c r="B16" s="631"/>
      <c r="C16" s="16" t="s">
        <v>30</v>
      </c>
      <c r="D16" s="338" t="s">
        <v>54</v>
      </c>
      <c r="E16" s="639">
        <f>A2.6.3!E16/A2.6.3!E$29</f>
        <v>1.7600044557074829E-2</v>
      </c>
      <c r="F16" s="640">
        <f>A2.6.3!F16/A2.6.3!F$29</f>
        <v>8.6561437764694389E-3</v>
      </c>
      <c r="G16" s="639">
        <f>A2.6.3!G16/A2.6.3!G$29</f>
        <v>1.5605981138237128E-2</v>
      </c>
      <c r="H16" s="640">
        <f>A2.6.3!H16/A2.6.3!H$29</f>
        <v>7.6007553570245859E-3</v>
      </c>
      <c r="I16" s="639">
        <f>A2.6.3!I16/A2.6.3!I$29</f>
        <v>1.1977761425885046E-2</v>
      </c>
      <c r="J16" s="640">
        <f>A2.6.3!J16/A2.6.3!J$29</f>
        <v>5.5895026191732635E-3</v>
      </c>
      <c r="K16" s="639">
        <f>A2.6.3!K16/A2.6.3!K$29</f>
        <v>1.0190678429913089E-2</v>
      </c>
      <c r="L16" s="640">
        <f>A2.6.3!L16/A2.6.3!L$29</f>
        <v>4.7295294168583132E-3</v>
      </c>
    </row>
    <row r="17" spans="1:12" customFormat="1" ht="13.35" customHeight="1" x14ac:dyDescent="0.2">
      <c r="A17" s="1"/>
      <c r="B17" s="631"/>
      <c r="C17" s="16" t="s">
        <v>31</v>
      </c>
      <c r="D17" s="338" t="s">
        <v>55</v>
      </c>
      <c r="E17" s="639">
        <f>A2.6.3!E17/A2.6.3!E$29</f>
        <v>1.9976421881236831E-2</v>
      </c>
      <c r="F17" s="640">
        <f>A2.6.3!F17/A2.6.3!F$29</f>
        <v>1.0599208752633149E-2</v>
      </c>
      <c r="G17" s="639">
        <f>A2.6.3!G17/A2.6.3!G$29</f>
        <v>1.7921643526536104E-2</v>
      </c>
      <c r="H17" s="640">
        <f>A2.6.3!H17/A2.6.3!H$29</f>
        <v>9.2126416773493959E-3</v>
      </c>
      <c r="I17" s="639">
        <f>A2.6.3!I17/A2.6.3!I$29</f>
        <v>1.3633390564957893E-2</v>
      </c>
      <c r="J17" s="640">
        <f>A2.6.3!J17/A2.6.3!J$29</f>
        <v>7.0127326318165997E-3</v>
      </c>
      <c r="K17" s="639">
        <f>A2.6.3!K17/A2.6.3!K$29</f>
        <v>1.1942030254602772E-2</v>
      </c>
      <c r="L17" s="640">
        <f>A2.6.3!L17/A2.6.3!L$29</f>
        <v>6.3200690041587647E-3</v>
      </c>
    </row>
    <row r="18" spans="1:12" customFormat="1" ht="13.35" customHeight="1" x14ac:dyDescent="0.2">
      <c r="A18" s="1"/>
      <c r="B18" s="631"/>
      <c r="C18" s="16" t="s">
        <v>32</v>
      </c>
      <c r="D18" s="338" t="s">
        <v>56</v>
      </c>
      <c r="E18" s="639">
        <f>A2.6.3!E18/A2.6.3!E$29</f>
        <v>2.1832966665738394E-2</v>
      </c>
      <c r="F18" s="640">
        <f>A2.6.3!F18/A2.6.3!F$29</f>
        <v>1.2354956610150765E-2</v>
      </c>
      <c r="G18" s="639">
        <f>A2.6.3!G18/A2.6.3!G$29</f>
        <v>2.0425329783970471E-2</v>
      </c>
      <c r="H18" s="640">
        <f>A2.6.3!H18/A2.6.3!H$29</f>
        <v>1.1334229850445392E-2</v>
      </c>
      <c r="I18" s="639">
        <f>A2.6.3!I18/A2.6.3!I$29</f>
        <v>1.6730030251001553E-2</v>
      </c>
      <c r="J18" s="640">
        <f>A2.6.3!J18/A2.6.3!J$29</f>
        <v>8.841522356437044E-3</v>
      </c>
      <c r="K18" s="639">
        <f>A2.6.3!K18/A2.6.3!K$29</f>
        <v>1.3583922590249349E-2</v>
      </c>
      <c r="L18" s="640">
        <f>A2.6.3!L18/A2.6.3!L$29</f>
        <v>7.283586108271959E-3</v>
      </c>
    </row>
    <row r="19" spans="1:12" customFormat="1" ht="13.35" customHeight="1" x14ac:dyDescent="0.2">
      <c r="A19" s="1"/>
      <c r="B19" s="631"/>
      <c r="C19" s="16" t="s">
        <v>33</v>
      </c>
      <c r="D19" s="338" t="s">
        <v>57</v>
      </c>
      <c r="E19" s="639">
        <f>A2.6.3!E19/A2.6.3!E$29</f>
        <v>2.4729176529560835E-2</v>
      </c>
      <c r="F19" s="640">
        <f>A2.6.3!F19/A2.6.3!F$29</f>
        <v>1.4896173116251354E-2</v>
      </c>
      <c r="G19" s="639">
        <f>A2.6.3!G19/A2.6.3!G$29</f>
        <v>2.1860248785266847E-2</v>
      </c>
      <c r="H19" s="640">
        <f>A2.6.3!H19/A2.6.3!H$29</f>
        <v>1.2925031728123249E-2</v>
      </c>
      <c r="I19" s="639">
        <f>A2.6.3!I19/A2.6.3!I$29</f>
        <v>1.8722917177663313E-2</v>
      </c>
      <c r="J19" s="640">
        <f>A2.6.3!J19/A2.6.3!J$29</f>
        <v>1.0517358906159928E-2</v>
      </c>
      <c r="K19" s="639">
        <f>A2.6.3!K19/A2.6.3!K$29</f>
        <v>1.6539328794413187E-2</v>
      </c>
      <c r="L19" s="640">
        <f>A2.6.3!L19/A2.6.3!L$29</f>
        <v>9.1565179852557774E-3</v>
      </c>
    </row>
    <row r="20" spans="1:12" customFormat="1" ht="13.35" customHeight="1" x14ac:dyDescent="0.2">
      <c r="A20" s="1"/>
      <c r="B20" s="631"/>
      <c r="C20" s="16" t="s">
        <v>34</v>
      </c>
      <c r="D20" s="338" t="s">
        <v>58</v>
      </c>
      <c r="E20" s="639">
        <f>A2.6.3!E20/A2.6.3!E$29</f>
        <v>0.1347294550112785</v>
      </c>
      <c r="F20" s="640">
        <f>A2.6.3!F20/A2.6.3!F$29</f>
        <v>9.0685335755847502E-2</v>
      </c>
      <c r="G20" s="639">
        <f>A2.6.3!G20/A2.6.3!G$29</f>
        <v>0.12461034527119969</v>
      </c>
      <c r="H20" s="640">
        <f>A2.6.3!H20/A2.6.3!H$29</f>
        <v>8.2098779917814182E-2</v>
      </c>
      <c r="I20" s="639">
        <f>A2.6.3!I20/A2.6.3!I$29</f>
        <v>0.11148924863052899</v>
      </c>
      <c r="J20" s="640">
        <f>A2.6.3!J20/A2.6.3!J$29</f>
        <v>7.0526628535720906E-2</v>
      </c>
      <c r="K20" s="639">
        <f>A2.6.3!K20/A2.6.3!K$29</f>
        <v>0.10320935221874385</v>
      </c>
      <c r="L20" s="640">
        <f>A2.6.3!L20/A2.6.3!L$29</f>
        <v>6.5467938705572354E-2</v>
      </c>
    </row>
    <row r="21" spans="1:12" customFormat="1" ht="13.35" customHeight="1" x14ac:dyDescent="0.2">
      <c r="A21" s="1"/>
      <c r="B21" s="631"/>
      <c r="C21" s="16" t="s">
        <v>35</v>
      </c>
      <c r="D21" s="338" t="s">
        <v>59</v>
      </c>
      <c r="E21" s="639">
        <f>A2.6.3!E21/A2.6.3!E$29</f>
        <v>0.24432129364040583</v>
      </c>
      <c r="F21" s="640">
        <f>A2.6.3!F21/A2.6.3!F$29</f>
        <v>0.19969189839918094</v>
      </c>
      <c r="G21" s="639">
        <f>A2.6.3!G21/A2.6.3!G$29</f>
        <v>0.24414404607574394</v>
      </c>
      <c r="H21" s="640">
        <f>A2.6.3!H21/A2.6.3!H$29</f>
        <v>0.19622676417693</v>
      </c>
      <c r="I21" s="639">
        <f>A2.6.3!I21/A2.6.3!I$29</f>
        <v>0.24040348295315184</v>
      </c>
      <c r="J21" s="640">
        <f>A2.6.3!J21/A2.6.3!J$29</f>
        <v>0.18693053428992881</v>
      </c>
      <c r="K21" s="639">
        <f>A2.6.3!K21/A2.6.3!K$29</f>
        <v>0.22972262965476478</v>
      </c>
      <c r="L21" s="640">
        <f>A2.6.3!L21/A2.6.3!L$29</f>
        <v>0.18043452498773901</v>
      </c>
    </row>
    <row r="22" spans="1:12" customFormat="1" ht="13.35" customHeight="1" x14ac:dyDescent="0.2">
      <c r="A22" s="1"/>
      <c r="B22" s="631"/>
      <c r="C22" s="16" t="s">
        <v>36</v>
      </c>
      <c r="D22" s="338" t="s">
        <v>60</v>
      </c>
      <c r="E22" s="639">
        <f>A2.6.3!E22/A2.6.3!E$29</f>
        <v>0.15793626481754805</v>
      </c>
      <c r="F22" s="640">
        <f>A2.6.3!F22/A2.6.3!F$29</f>
        <v>0.16042702258559025</v>
      </c>
      <c r="G22" s="639">
        <f>A2.6.3!G22/A2.6.3!G$29</f>
        <v>0.16460994943147519</v>
      </c>
      <c r="H22" s="640">
        <f>A2.6.3!H22/A2.6.3!H$29</f>
        <v>0.16318246612721615</v>
      </c>
      <c r="I22" s="639">
        <f>A2.6.3!I22/A2.6.3!I$29</f>
        <v>0.17316654402747117</v>
      </c>
      <c r="J22" s="640">
        <f>A2.6.3!J22/A2.6.3!J$29</f>
        <v>0.16423589545640557</v>
      </c>
      <c r="K22" s="639">
        <f>A2.6.3!K22/A2.6.3!K$29</f>
        <v>0.17701788568050963</v>
      </c>
      <c r="L22" s="640">
        <f>A2.6.3!L22/A2.6.3!L$29</f>
        <v>0.16443824281524971</v>
      </c>
    </row>
    <row r="23" spans="1:12" customFormat="1" ht="13.35" customHeight="1" x14ac:dyDescent="0.2">
      <c r="A23" s="1"/>
      <c r="B23" s="631"/>
      <c r="C23" s="16" t="s">
        <v>37</v>
      </c>
      <c r="D23" s="338" t="s">
        <v>61</v>
      </c>
      <c r="E23" s="639">
        <f>A2.6.3!E23/A2.6.3!E$29</f>
        <v>9.2093904035200083E-2</v>
      </c>
      <c r="F23" s="640">
        <f>A2.6.3!F23/A2.6.3!F$29</f>
        <v>0.1074345559431283</v>
      </c>
      <c r="G23" s="639">
        <f>A2.6.3!G23/A2.6.3!G$29</f>
        <v>9.9029203075674657E-2</v>
      </c>
      <c r="H23" s="640">
        <f>A2.6.3!H23/A2.6.3!H$29</f>
        <v>0.11233473472135841</v>
      </c>
      <c r="I23" s="639">
        <f>A2.6.3!I23/A2.6.3!I$29</f>
        <v>0.10774875316817922</v>
      </c>
      <c r="J23" s="640">
        <f>A2.6.3!J23/A2.6.3!J$29</f>
        <v>0.11776437734847107</v>
      </c>
      <c r="K23" s="639">
        <f>A2.6.3!K23/A2.6.3!K$29</f>
        <v>0.11759232907900787</v>
      </c>
      <c r="L23" s="640">
        <f>A2.6.3!L23/A2.6.3!L$29</f>
        <v>0.12313598599776339</v>
      </c>
    </row>
    <row r="24" spans="1:12" customFormat="1" ht="13.35" customHeight="1" x14ac:dyDescent="0.2">
      <c r="A24" s="1"/>
      <c r="B24" s="631"/>
      <c r="C24" s="16" t="s">
        <v>38</v>
      </c>
      <c r="D24" s="338" t="s">
        <v>62</v>
      </c>
      <c r="E24" s="639">
        <f>A2.6.3!E24/A2.6.3!E$29</f>
        <v>0.10722474402888783</v>
      </c>
      <c r="F24" s="640">
        <f>A2.6.3!F24/A2.6.3!F$29</f>
        <v>0.1474509763068092</v>
      </c>
      <c r="G24" s="639">
        <f>A2.6.3!G24/A2.6.3!G$29</f>
        <v>0.1110033547416651</v>
      </c>
      <c r="H24" s="640">
        <f>A2.6.3!H24/A2.6.3!H$29</f>
        <v>0.14911778838432937</v>
      </c>
      <c r="I24" s="639">
        <f>A2.6.3!I24/A2.6.3!I$29</f>
        <v>0.1237429482462595</v>
      </c>
      <c r="J24" s="640">
        <f>A2.6.3!J24/A2.6.3!J$29</f>
        <v>0.15955302115865996</v>
      </c>
      <c r="K24" s="639">
        <f>A2.6.3!K24/A2.6.3!K$29</f>
        <v>0.13626611790976159</v>
      </c>
      <c r="L24" s="640">
        <f>A2.6.3!L24/A2.6.3!L$29</f>
        <v>0.16598169140247071</v>
      </c>
    </row>
    <row r="25" spans="1:12" customFormat="1" ht="13.35" customHeight="1" x14ac:dyDescent="0.2">
      <c r="A25" s="1"/>
      <c r="B25" s="631"/>
      <c r="C25" s="16" t="s">
        <v>39</v>
      </c>
      <c r="D25" s="338" t="s">
        <v>63</v>
      </c>
      <c r="E25" s="639">
        <f>A2.6.3!E25/A2.6.3!E$29</f>
        <v>4.289546724590864E-2</v>
      </c>
      <c r="F25" s="640">
        <f>A2.6.3!F25/A2.6.3!F$29</f>
        <v>7.1175178011486206E-2</v>
      </c>
      <c r="G25" s="639">
        <f>A2.6.3!G25/A2.6.3!G$29</f>
        <v>4.5185104551167234E-2</v>
      </c>
      <c r="H25" s="640">
        <f>A2.6.3!H25/A2.6.3!H$29</f>
        <v>7.5537518309122573E-2</v>
      </c>
      <c r="I25" s="639">
        <f>A2.6.3!I25/A2.6.3!I$29</f>
        <v>4.9679094105142672E-2</v>
      </c>
      <c r="J25" s="640">
        <f>A2.6.3!J25/A2.6.3!J$29</f>
        <v>7.882715374754666E-2</v>
      </c>
      <c r="K25" s="639">
        <f>A2.6.3!K25/A2.6.3!K$29</f>
        <v>5.3854068609207731E-2</v>
      </c>
      <c r="L25" s="640">
        <f>A2.6.3!L25/A2.6.3!L$29</f>
        <v>8.0922789407982434E-2</v>
      </c>
    </row>
    <row r="26" spans="1:12" customFormat="1" ht="13.35" customHeight="1" x14ac:dyDescent="0.2">
      <c r="A26" s="1"/>
      <c r="B26" s="631"/>
      <c r="C26" s="16" t="s">
        <v>40</v>
      </c>
      <c r="D26" s="338" t="s">
        <v>64</v>
      </c>
      <c r="E26" s="639">
        <f>A2.6.3!E26/A2.6.3!E$29</f>
        <v>4.7648221894232644E-2</v>
      </c>
      <c r="F26" s="640">
        <f>A2.6.3!F26/A2.6.3!F$29</f>
        <v>9.6576881843628906E-2</v>
      </c>
      <c r="G26" s="639">
        <f>A2.6.3!G26/A2.6.3!G$29</f>
        <v>4.8341926354019259E-2</v>
      </c>
      <c r="H26" s="640">
        <f>A2.6.3!H26/A2.6.3!H$29</f>
        <v>9.9628870164757036E-2</v>
      </c>
      <c r="I26" s="639">
        <f>A2.6.3!I26/A2.6.3!I$29</f>
        <v>5.7037445834355327E-2</v>
      </c>
      <c r="J26" s="640">
        <f>A2.6.3!J26/A2.6.3!J$29</f>
        <v>0.11115045599838765</v>
      </c>
      <c r="K26" s="639">
        <f>A2.6.3!K26/A2.6.3!K$29</f>
        <v>6.0947043499200944E-2</v>
      </c>
      <c r="L26" s="640">
        <f>A2.6.3!L26/A2.6.3!L$29</f>
        <v>0.11511515280909451</v>
      </c>
    </row>
    <row r="27" spans="1:12" customFormat="1" ht="13.35" customHeight="1" x14ac:dyDescent="0.2">
      <c r="A27" s="1"/>
      <c r="B27" s="631"/>
      <c r="C27" s="16" t="s">
        <v>41</v>
      </c>
      <c r="D27" s="338" t="s">
        <v>65</v>
      </c>
      <c r="E27" s="639">
        <f>A2.6.3!E27/A2.6.3!E$29</f>
        <v>1.5307211748215397E-2</v>
      </c>
      <c r="F27" s="640">
        <f>A2.6.3!F27/A2.6.3!F$29</f>
        <v>3.8856187860221429E-2</v>
      </c>
      <c r="G27" s="639">
        <f>A2.6.3!G27/A2.6.3!G$29</f>
        <v>1.6090884800744179E-2</v>
      </c>
      <c r="H27" s="640">
        <f>A2.6.3!H27/A2.6.3!H$29</f>
        <v>4.2613796130192165E-2</v>
      </c>
      <c r="I27" s="639">
        <f>A2.6.3!I27/A2.6.3!I$29</f>
        <v>1.8314119859373722E-2</v>
      </c>
      <c r="J27" s="640">
        <f>A2.6.3!J27/A2.6.3!J$29</f>
        <v>4.621655580824896E-2</v>
      </c>
      <c r="K27" s="639">
        <f>A2.6.3!K27/A2.6.3!K$29</f>
        <v>2.0096762188314105E-2</v>
      </c>
      <c r="L27" s="640">
        <f>A2.6.3!L27/A2.6.3!L$29</f>
        <v>4.9067152622117596E-2</v>
      </c>
    </row>
    <row r="28" spans="1:12" customFormat="1" ht="13.35" customHeight="1" x14ac:dyDescent="0.2">
      <c r="A28" s="1"/>
      <c r="B28" s="632"/>
      <c r="C28" s="280" t="s">
        <v>42</v>
      </c>
      <c r="D28" s="434" t="s">
        <v>66</v>
      </c>
      <c r="E28" s="641">
        <f>A2.6.3!E28/A2.6.3!E$29</f>
        <v>2.961188931279995E-3</v>
      </c>
      <c r="F28" s="642">
        <f>A2.6.3!F28/A2.6.3!F$29</f>
        <v>9.899368401869767E-3</v>
      </c>
      <c r="G28" s="641">
        <f>A2.6.3!G28/A2.6.3!G$29</f>
        <v>2.9786939268290269E-3</v>
      </c>
      <c r="H28" s="642">
        <f>A2.6.3!H28/A2.6.3!H$29</f>
        <v>1.0217795111542177E-2</v>
      </c>
      <c r="I28" s="641">
        <f>A2.6.3!I28/A2.6.3!I$29</f>
        <v>3.0761998201291798E-3</v>
      </c>
      <c r="J28" s="642">
        <f>A2.6.3!J28/A2.6.3!J$29</f>
        <v>1.0540480068850189E-2</v>
      </c>
      <c r="K28" s="641">
        <f>A2.6.3!K28/A2.6.3!K$29</f>
        <v>3.4589198537621226E-3</v>
      </c>
      <c r="L28" s="642">
        <f>A2.6.3!L28/A2.6.3!L$29</f>
        <v>1.086108995946141E-2</v>
      </c>
    </row>
    <row r="29" spans="1:12" customFormat="1" ht="13.35" customHeight="1" x14ac:dyDescent="0.2">
      <c r="A29" s="1"/>
      <c r="B29" s="632"/>
      <c r="C29" s="635" t="s">
        <v>8</v>
      </c>
      <c r="D29" s="636"/>
      <c r="E29" s="643">
        <f>A2.6.3!E29/A2.6.3!E$29</f>
        <v>1</v>
      </c>
      <c r="F29" s="644">
        <f>A2.6.3!F29/A2.6.3!F$29</f>
        <v>1</v>
      </c>
      <c r="G29" s="643">
        <f>A2.6.3!G29/A2.6.3!G$29</f>
        <v>1</v>
      </c>
      <c r="H29" s="644">
        <f>A2.6.3!H29/A2.6.3!H$29</f>
        <v>1</v>
      </c>
      <c r="I29" s="643">
        <f>A2.6.3!I29/A2.6.3!I$29</f>
        <v>1</v>
      </c>
      <c r="J29" s="644">
        <f>A2.6.3!J29/A2.6.3!J$29</f>
        <v>1</v>
      </c>
      <c r="K29" s="643">
        <f>A2.6.3!K29/A2.6.3!K$29</f>
        <v>1</v>
      </c>
      <c r="L29" s="644">
        <f>A2.6.3!L29/A2.6.3!L$29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378</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54">
        <v>1307</v>
      </c>
      <c r="F4" s="655">
        <v>12.537577000000001</v>
      </c>
      <c r="G4" s="654">
        <v>1425</v>
      </c>
      <c r="H4" s="655">
        <v>14.529202</v>
      </c>
      <c r="I4" s="654">
        <v>2049</v>
      </c>
      <c r="J4" s="655">
        <v>34.696258</v>
      </c>
      <c r="K4" s="654">
        <v>1883</v>
      </c>
      <c r="L4" s="655">
        <v>33.394767999999999</v>
      </c>
    </row>
    <row r="5" spans="1:12" ht="13.35" customHeight="1" x14ac:dyDescent="0.2">
      <c r="B5" s="145"/>
      <c r="C5" s="16" t="s">
        <v>19</v>
      </c>
      <c r="D5" s="339" t="s">
        <v>129</v>
      </c>
      <c r="E5" s="654">
        <v>10</v>
      </c>
      <c r="F5" s="655">
        <v>6.5405000000000005E-2</v>
      </c>
      <c r="G5" s="654">
        <v>6</v>
      </c>
      <c r="H5" s="655">
        <v>4.5435000000000003E-2</v>
      </c>
      <c r="I5" s="654">
        <v>15</v>
      </c>
      <c r="J5" s="655">
        <v>0.23516699999999999</v>
      </c>
      <c r="K5" s="654">
        <v>10</v>
      </c>
      <c r="L5" s="655">
        <v>5.6092000000000003E-2</v>
      </c>
    </row>
    <row r="6" spans="1:12" ht="13.35" customHeight="1" x14ac:dyDescent="0.2">
      <c r="B6" s="145"/>
      <c r="C6" s="16" t="s">
        <v>20</v>
      </c>
      <c r="D6" s="338" t="s">
        <v>44</v>
      </c>
      <c r="E6" s="654">
        <v>3327</v>
      </c>
      <c r="F6" s="655">
        <v>10.0396</v>
      </c>
      <c r="G6" s="654">
        <v>4627</v>
      </c>
      <c r="H6" s="655">
        <v>14.076897000000001</v>
      </c>
      <c r="I6" s="654">
        <v>7356</v>
      </c>
      <c r="J6" s="655">
        <v>28.817748999999999</v>
      </c>
      <c r="K6" s="654">
        <v>5248</v>
      </c>
      <c r="L6" s="655">
        <v>23.778119</v>
      </c>
    </row>
    <row r="7" spans="1:12" ht="13.35" customHeight="1" x14ac:dyDescent="0.2">
      <c r="B7" s="145"/>
      <c r="C7" s="16" t="s">
        <v>21</v>
      </c>
      <c r="D7" s="338" t="s">
        <v>45</v>
      </c>
      <c r="E7" s="654">
        <v>3404</v>
      </c>
      <c r="F7" s="655">
        <v>12.148014999999999</v>
      </c>
      <c r="G7" s="654">
        <v>4983</v>
      </c>
      <c r="H7" s="655">
        <v>27.565463999999999</v>
      </c>
      <c r="I7" s="654">
        <v>7714</v>
      </c>
      <c r="J7" s="655">
        <v>40.212649999999996</v>
      </c>
      <c r="K7" s="654">
        <v>5772</v>
      </c>
      <c r="L7" s="655">
        <v>26.881471000000001</v>
      </c>
    </row>
    <row r="8" spans="1:12" ht="13.35" customHeight="1" x14ac:dyDescent="0.2">
      <c r="B8" s="145"/>
      <c r="C8" s="16" t="s">
        <v>22</v>
      </c>
      <c r="D8" s="338" t="s">
        <v>46</v>
      </c>
      <c r="E8" s="654">
        <v>5145</v>
      </c>
      <c r="F8" s="655">
        <v>21.963421</v>
      </c>
      <c r="G8" s="654">
        <v>6582</v>
      </c>
      <c r="H8" s="655">
        <v>38.106167999999997</v>
      </c>
      <c r="I8" s="654">
        <v>11208</v>
      </c>
      <c r="J8" s="655">
        <v>85.709710000000001</v>
      </c>
      <c r="K8" s="654">
        <v>8369</v>
      </c>
      <c r="L8" s="655">
        <v>51.942571000000001</v>
      </c>
    </row>
    <row r="9" spans="1:12" ht="13.35" customHeight="1" x14ac:dyDescent="0.2">
      <c r="B9" s="145"/>
      <c r="C9" s="16" t="s">
        <v>23</v>
      </c>
      <c r="D9" s="338" t="s">
        <v>47</v>
      </c>
      <c r="E9" s="654">
        <v>7314</v>
      </c>
      <c r="F9" s="655">
        <v>23.935957999999999</v>
      </c>
      <c r="G9" s="654">
        <v>6427</v>
      </c>
      <c r="H9" s="655">
        <v>22.298082000000001</v>
      </c>
      <c r="I9" s="654">
        <v>15303</v>
      </c>
      <c r="J9" s="655">
        <v>112.01728300000001</v>
      </c>
      <c r="K9" s="654">
        <v>15641</v>
      </c>
      <c r="L9" s="655">
        <v>157.84629000000001</v>
      </c>
    </row>
    <row r="10" spans="1:12" s="50" customFormat="1" ht="13.35" customHeight="1" x14ac:dyDescent="0.2">
      <c r="B10" s="145"/>
      <c r="C10" s="16" t="s">
        <v>24</v>
      </c>
      <c r="D10" s="338" t="s">
        <v>48</v>
      </c>
      <c r="E10" s="654">
        <v>15197</v>
      </c>
      <c r="F10" s="655">
        <v>54.00329</v>
      </c>
      <c r="G10" s="654">
        <v>11332</v>
      </c>
      <c r="H10" s="655">
        <v>42.292380000000001</v>
      </c>
      <c r="I10" s="654">
        <v>28642</v>
      </c>
      <c r="J10" s="655">
        <v>263.88856399999997</v>
      </c>
      <c r="K10" s="654">
        <v>21423</v>
      </c>
      <c r="L10" s="655">
        <v>193.43200400000001</v>
      </c>
    </row>
    <row r="11" spans="1:12" s="1" customFormat="1" ht="13.35" customHeight="1" x14ac:dyDescent="0.2">
      <c r="B11" s="631"/>
      <c r="C11" s="16" t="s">
        <v>25</v>
      </c>
      <c r="D11" s="338" t="s">
        <v>49</v>
      </c>
      <c r="E11" s="654">
        <v>22379</v>
      </c>
      <c r="F11" s="655">
        <v>83.445279999999997</v>
      </c>
      <c r="G11" s="654">
        <v>23605</v>
      </c>
      <c r="H11" s="655">
        <v>104.07677</v>
      </c>
      <c r="I11" s="654">
        <v>52545</v>
      </c>
      <c r="J11" s="655">
        <v>598.51307399999996</v>
      </c>
      <c r="K11" s="654">
        <v>37097</v>
      </c>
      <c r="L11" s="655">
        <v>414.02294499999999</v>
      </c>
    </row>
    <row r="12" spans="1:12" s="1" customFormat="1" ht="13.35" customHeight="1" x14ac:dyDescent="0.2">
      <c r="B12" s="631"/>
      <c r="C12" s="16" t="s">
        <v>26</v>
      </c>
      <c r="D12" s="338" t="s">
        <v>50</v>
      </c>
      <c r="E12" s="654">
        <v>26758</v>
      </c>
      <c r="F12" s="655">
        <v>103.774569</v>
      </c>
      <c r="G12" s="654">
        <v>26645</v>
      </c>
      <c r="H12" s="655">
        <v>115.931212</v>
      </c>
      <c r="I12" s="654">
        <v>79038</v>
      </c>
      <c r="J12" s="655">
        <v>987.83571700000005</v>
      </c>
      <c r="K12" s="654">
        <v>61594</v>
      </c>
      <c r="L12" s="655">
        <v>804.37965299999996</v>
      </c>
    </row>
    <row r="13" spans="1:12" s="1" customFormat="1" ht="13.35" customHeight="1" x14ac:dyDescent="0.2">
      <c r="B13" s="631"/>
      <c r="C13" s="16" t="s">
        <v>27</v>
      </c>
      <c r="D13" s="338" t="s">
        <v>51</v>
      </c>
      <c r="E13" s="654">
        <v>32700</v>
      </c>
      <c r="F13" s="655">
        <v>139.032723</v>
      </c>
      <c r="G13" s="654">
        <v>31319</v>
      </c>
      <c r="H13" s="655">
        <v>149.65426600000001</v>
      </c>
      <c r="I13" s="654">
        <v>75200</v>
      </c>
      <c r="J13" s="655">
        <v>970.589338</v>
      </c>
      <c r="K13" s="654">
        <v>75970</v>
      </c>
      <c r="L13" s="655">
        <v>1037.629925</v>
      </c>
    </row>
    <row r="14" spans="1:12" s="1" customFormat="1" ht="13.35" customHeight="1" x14ac:dyDescent="0.2">
      <c r="B14" s="631"/>
      <c r="C14" s="16" t="s">
        <v>28</v>
      </c>
      <c r="D14" s="338" t="s">
        <v>52</v>
      </c>
      <c r="E14" s="654">
        <v>40809</v>
      </c>
      <c r="F14" s="655">
        <v>192.12929700000001</v>
      </c>
      <c r="G14" s="654">
        <v>35553</v>
      </c>
      <c r="H14" s="655">
        <v>176.180216</v>
      </c>
      <c r="I14" s="654">
        <v>73104</v>
      </c>
      <c r="J14" s="655">
        <v>1000.135992</v>
      </c>
      <c r="K14" s="654">
        <v>75337</v>
      </c>
      <c r="L14" s="655">
        <v>1094.2623960000001</v>
      </c>
    </row>
    <row r="15" spans="1:12" customFormat="1" ht="13.35" customHeight="1" x14ac:dyDescent="0.2">
      <c r="A15" s="1"/>
      <c r="B15" s="631"/>
      <c r="C15" s="16" t="s">
        <v>29</v>
      </c>
      <c r="D15" s="338" t="s">
        <v>53</v>
      </c>
      <c r="E15" s="654">
        <v>53361</v>
      </c>
      <c r="F15" s="655">
        <v>295.99576500000001</v>
      </c>
      <c r="G15" s="654">
        <v>40968</v>
      </c>
      <c r="H15" s="655">
        <v>208.46798200000001</v>
      </c>
      <c r="I15" s="654">
        <v>78806</v>
      </c>
      <c r="J15" s="655">
        <v>1107.929486</v>
      </c>
      <c r="K15" s="654">
        <v>70948</v>
      </c>
      <c r="L15" s="655">
        <v>1058.7386839999999</v>
      </c>
    </row>
    <row r="16" spans="1:12" customFormat="1" ht="13.35" customHeight="1" x14ac:dyDescent="0.2">
      <c r="A16" s="1"/>
      <c r="B16" s="631"/>
      <c r="C16" s="16" t="s">
        <v>30</v>
      </c>
      <c r="D16" s="338" t="s">
        <v>54</v>
      </c>
      <c r="E16" s="654">
        <v>44189</v>
      </c>
      <c r="F16" s="655">
        <v>221.68415999999999</v>
      </c>
      <c r="G16" s="654">
        <v>51907</v>
      </c>
      <c r="H16" s="655">
        <v>321.45472899999999</v>
      </c>
      <c r="I16" s="654">
        <v>83210</v>
      </c>
      <c r="J16" s="655">
        <v>1284.239546</v>
      </c>
      <c r="K16" s="654">
        <v>72761</v>
      </c>
      <c r="L16" s="655">
        <v>1122.7931719999999</v>
      </c>
    </row>
    <row r="17" spans="1:12" customFormat="1" ht="13.35" customHeight="1" x14ac:dyDescent="0.2">
      <c r="A17" s="1"/>
      <c r="B17" s="631"/>
      <c r="C17" s="16" t="s">
        <v>31</v>
      </c>
      <c r="D17" s="338" t="s">
        <v>55</v>
      </c>
      <c r="E17" s="654">
        <v>43022</v>
      </c>
      <c r="F17" s="655">
        <v>206.34048899999999</v>
      </c>
      <c r="G17" s="654">
        <v>40585</v>
      </c>
      <c r="H17" s="655">
        <v>226.597936</v>
      </c>
      <c r="I17" s="654">
        <v>94145</v>
      </c>
      <c r="J17" s="655">
        <v>1548.11637</v>
      </c>
      <c r="K17" s="654">
        <v>76440</v>
      </c>
      <c r="L17" s="655">
        <v>1314.6334979999999</v>
      </c>
    </row>
    <row r="18" spans="1:12" customFormat="1" ht="13.35" customHeight="1" x14ac:dyDescent="0.2">
      <c r="A18" s="1"/>
      <c r="B18" s="631"/>
      <c r="C18" s="16" t="s">
        <v>32</v>
      </c>
      <c r="D18" s="338" t="s">
        <v>56</v>
      </c>
      <c r="E18" s="654">
        <v>47339</v>
      </c>
      <c r="F18" s="655">
        <v>227.54384300000001</v>
      </c>
      <c r="G18" s="654">
        <v>36949</v>
      </c>
      <c r="H18" s="655">
        <v>198.90203600000001</v>
      </c>
      <c r="I18" s="654">
        <v>82785</v>
      </c>
      <c r="J18" s="655">
        <v>1330.7649100000001</v>
      </c>
      <c r="K18" s="654">
        <v>93559</v>
      </c>
      <c r="L18" s="655">
        <v>1756.590017</v>
      </c>
    </row>
    <row r="19" spans="1:12" customFormat="1" ht="13.35" customHeight="1" x14ac:dyDescent="0.2">
      <c r="A19" s="1"/>
      <c r="B19" s="631"/>
      <c r="C19" s="16" t="s">
        <v>33</v>
      </c>
      <c r="D19" s="338" t="s">
        <v>57</v>
      </c>
      <c r="E19" s="654">
        <v>41721</v>
      </c>
      <c r="F19" s="655">
        <v>213.53497300000001</v>
      </c>
      <c r="G19" s="654">
        <v>36331</v>
      </c>
      <c r="H19" s="655">
        <v>199.74150800000001</v>
      </c>
      <c r="I19" s="654">
        <v>77700</v>
      </c>
      <c r="J19" s="655">
        <v>1236.5567020000001</v>
      </c>
      <c r="K19" s="654">
        <v>77076</v>
      </c>
      <c r="L19" s="655">
        <v>1385.2180840000001</v>
      </c>
    </row>
    <row r="20" spans="1:12" customFormat="1" ht="13.35" customHeight="1" x14ac:dyDescent="0.2">
      <c r="A20" s="1"/>
      <c r="B20" s="631"/>
      <c r="C20" s="16" t="s">
        <v>34</v>
      </c>
      <c r="D20" s="338" t="s">
        <v>58</v>
      </c>
      <c r="E20" s="654">
        <v>179122</v>
      </c>
      <c r="F20" s="655">
        <v>1043.1089059999999</v>
      </c>
      <c r="G20" s="654">
        <v>176712</v>
      </c>
      <c r="H20" s="655">
        <v>1072.147512</v>
      </c>
      <c r="I20" s="654">
        <v>400116</v>
      </c>
      <c r="J20" s="655">
        <v>6695.6632719999998</v>
      </c>
      <c r="K20" s="654">
        <v>371047</v>
      </c>
      <c r="L20" s="655">
        <v>6722.9111730000004</v>
      </c>
    </row>
    <row r="21" spans="1:12" customFormat="1" ht="13.35" customHeight="1" x14ac:dyDescent="0.2">
      <c r="A21" s="1"/>
      <c r="B21" s="631"/>
      <c r="C21" s="16" t="s">
        <v>35</v>
      </c>
      <c r="D21" s="338" t="s">
        <v>59</v>
      </c>
      <c r="E21" s="654">
        <v>193054</v>
      </c>
      <c r="F21" s="655">
        <v>1401.4433939999999</v>
      </c>
      <c r="G21" s="654">
        <v>198064</v>
      </c>
      <c r="H21" s="655">
        <v>1519.273232</v>
      </c>
      <c r="I21" s="654">
        <v>405939</v>
      </c>
      <c r="J21" s="655">
        <v>7311.6351450000002</v>
      </c>
      <c r="K21" s="654">
        <v>441518</v>
      </c>
      <c r="L21" s="655">
        <v>8703.5353350000005</v>
      </c>
    </row>
    <row r="22" spans="1:12" customFormat="1" ht="13.35" customHeight="1" x14ac:dyDescent="0.2">
      <c r="A22" s="1"/>
      <c r="B22" s="631"/>
      <c r="C22" s="16" t="s">
        <v>36</v>
      </c>
      <c r="D22" s="338" t="s">
        <v>60</v>
      </c>
      <c r="E22" s="654">
        <v>104321</v>
      </c>
      <c r="F22" s="655">
        <v>924.029674</v>
      </c>
      <c r="G22" s="654">
        <v>104997</v>
      </c>
      <c r="H22" s="655">
        <v>1019.852699</v>
      </c>
      <c r="I22" s="654">
        <v>176173</v>
      </c>
      <c r="J22" s="655">
        <v>3608.9040490000002</v>
      </c>
      <c r="K22" s="654">
        <v>181563</v>
      </c>
      <c r="L22" s="655">
        <v>3967.7742899999998</v>
      </c>
    </row>
    <row r="23" spans="1:12" customFormat="1" ht="13.35" customHeight="1" x14ac:dyDescent="0.2">
      <c r="A23" s="1"/>
      <c r="B23" s="631"/>
      <c r="C23" s="16" t="s">
        <v>37</v>
      </c>
      <c r="D23" s="338" t="s">
        <v>61</v>
      </c>
      <c r="E23" s="654">
        <v>58191</v>
      </c>
      <c r="F23" s="655">
        <v>595.10218799999996</v>
      </c>
      <c r="G23" s="654">
        <v>57336</v>
      </c>
      <c r="H23" s="655">
        <v>665.07349399999998</v>
      </c>
      <c r="I23" s="654">
        <v>89583</v>
      </c>
      <c r="J23" s="655">
        <v>2112.5087939999999</v>
      </c>
      <c r="K23" s="654">
        <v>99699</v>
      </c>
      <c r="L23" s="655">
        <v>2435.873587</v>
      </c>
    </row>
    <row r="24" spans="1:12" customFormat="1" ht="13.35" customHeight="1" x14ac:dyDescent="0.2">
      <c r="A24" s="1"/>
      <c r="B24" s="631"/>
      <c r="C24" s="16" t="s">
        <v>38</v>
      </c>
      <c r="D24" s="338" t="s">
        <v>62</v>
      </c>
      <c r="E24" s="654">
        <v>62615</v>
      </c>
      <c r="F24" s="655">
        <v>767.36672299999998</v>
      </c>
      <c r="G24" s="654">
        <v>62221</v>
      </c>
      <c r="H24" s="655">
        <v>879.06648399999995</v>
      </c>
      <c r="I24" s="654">
        <v>93074</v>
      </c>
      <c r="J24" s="655">
        <v>2507.3990829999998</v>
      </c>
      <c r="K24" s="654">
        <v>102596</v>
      </c>
      <c r="L24" s="655">
        <v>2905.5155789999999</v>
      </c>
    </row>
    <row r="25" spans="1:12" customFormat="1" ht="13.35" customHeight="1" x14ac:dyDescent="0.2">
      <c r="A25" s="1"/>
      <c r="B25" s="631"/>
      <c r="C25" s="16" t="s">
        <v>39</v>
      </c>
      <c r="D25" s="338" t="s">
        <v>63</v>
      </c>
      <c r="E25" s="654">
        <v>22253</v>
      </c>
      <c r="F25" s="655">
        <v>333.70732900000002</v>
      </c>
      <c r="G25" s="654">
        <v>21527</v>
      </c>
      <c r="H25" s="655">
        <v>384.16508499999998</v>
      </c>
      <c r="I25" s="654">
        <v>30058</v>
      </c>
      <c r="J25" s="655">
        <v>970.35069699999997</v>
      </c>
      <c r="K25" s="654">
        <v>35075</v>
      </c>
      <c r="L25" s="655">
        <v>1153.9549509999999</v>
      </c>
    </row>
    <row r="26" spans="1:12" customFormat="1" ht="13.35" customHeight="1" x14ac:dyDescent="0.2">
      <c r="A26" s="1"/>
      <c r="B26" s="631"/>
      <c r="C26" s="16" t="s">
        <v>40</v>
      </c>
      <c r="D26" s="338" t="s">
        <v>64</v>
      </c>
      <c r="E26" s="654">
        <v>21717</v>
      </c>
      <c r="F26" s="655">
        <v>394.61124799999999</v>
      </c>
      <c r="G26" s="654">
        <v>19998</v>
      </c>
      <c r="H26" s="655">
        <v>429.88164999999998</v>
      </c>
      <c r="I26" s="654">
        <v>27573</v>
      </c>
      <c r="J26" s="655">
        <v>1034.760192</v>
      </c>
      <c r="K26" s="654">
        <v>30536</v>
      </c>
      <c r="L26" s="655">
        <v>1212.8206680000001</v>
      </c>
    </row>
    <row r="27" spans="1:12" customFormat="1" ht="13.35" customHeight="1" x14ac:dyDescent="0.2">
      <c r="A27" s="1"/>
      <c r="B27" s="631"/>
      <c r="C27" s="16" t="s">
        <v>41</v>
      </c>
      <c r="D27" s="338" t="s">
        <v>65</v>
      </c>
      <c r="E27" s="654">
        <v>6068</v>
      </c>
      <c r="F27" s="655">
        <v>128.09324899999999</v>
      </c>
      <c r="G27" s="654">
        <v>5503</v>
      </c>
      <c r="H27" s="655">
        <v>140.52738500000001</v>
      </c>
      <c r="I27" s="654">
        <v>7474</v>
      </c>
      <c r="J27" s="655">
        <v>328.164806</v>
      </c>
      <c r="K27" s="654">
        <v>7637</v>
      </c>
      <c r="L27" s="655">
        <v>369.25116600000001</v>
      </c>
    </row>
    <row r="28" spans="1:12" customFormat="1" ht="13.35" customHeight="1" x14ac:dyDescent="0.2">
      <c r="A28" s="1"/>
      <c r="B28" s="632"/>
      <c r="C28" s="280" t="s">
        <v>42</v>
      </c>
      <c r="D28" s="434" t="s">
        <v>66</v>
      </c>
      <c r="E28" s="656">
        <v>1168</v>
      </c>
      <c r="F28" s="657">
        <v>25.751042999999999</v>
      </c>
      <c r="G28" s="656">
        <v>922</v>
      </c>
      <c r="H28" s="657">
        <v>25.357099999999999</v>
      </c>
      <c r="I28" s="656">
        <v>1244</v>
      </c>
      <c r="J28" s="657">
        <v>57.795865999999997</v>
      </c>
      <c r="K28" s="656">
        <v>1374</v>
      </c>
      <c r="L28" s="657">
        <v>72.178511999999998</v>
      </c>
    </row>
    <row r="29" spans="1:12" customFormat="1" ht="13.35" customHeight="1" x14ac:dyDescent="0.2">
      <c r="A29" s="1"/>
      <c r="B29" s="632"/>
      <c r="C29" s="635" t="s">
        <v>8</v>
      </c>
      <c r="D29" s="636"/>
      <c r="E29" s="658">
        <f t="shared" ref="E29:L29" si="0">SUM(E4:E28)</f>
        <v>1036491</v>
      </c>
      <c r="F29" s="659">
        <f t="shared" si="0"/>
        <v>7431.3881190000002</v>
      </c>
      <c r="G29" s="658">
        <f t="shared" si="0"/>
        <v>1006524</v>
      </c>
      <c r="H29" s="659">
        <f t="shared" si="0"/>
        <v>7995.264924000001</v>
      </c>
      <c r="I29" s="658">
        <f t="shared" si="0"/>
        <v>2000054</v>
      </c>
      <c r="J29" s="659">
        <f t="shared" si="0"/>
        <v>35257.440420000006</v>
      </c>
      <c r="K29" s="658">
        <f t="shared" si="0"/>
        <v>1970173</v>
      </c>
      <c r="L29" s="659">
        <f t="shared" si="0"/>
        <v>38019.414950000006</v>
      </c>
    </row>
    <row r="30" spans="1:12" s="1" customFormat="1" ht="12"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273</v>
      </c>
      <c r="E34" s="84">
        <f>A2.6.1!E13-E29</f>
        <v>0</v>
      </c>
      <c r="F34" s="84">
        <f>A2.6.1!F13-F29</f>
        <v>0</v>
      </c>
      <c r="G34" s="84">
        <f>A2.6.1!G13-G29</f>
        <v>0</v>
      </c>
      <c r="H34" s="84">
        <f>A2.6.1!H13-H29</f>
        <v>0</v>
      </c>
      <c r="I34" s="84">
        <f>A2.6.1!I13-I29</f>
        <v>0</v>
      </c>
      <c r="J34" s="84">
        <f>A2.6.1!J13-J29</f>
        <v>0</v>
      </c>
      <c r="K34" s="84">
        <f>A2.6.1!K13-K29</f>
        <v>0</v>
      </c>
      <c r="L34" s="107">
        <f>A2.6.1!L13-L29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24.95" customHeight="1" x14ac:dyDescent="0.2">
      <c r="A1" s="69"/>
      <c r="B1" s="1044" t="s">
        <v>468</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A2.6.4!E4/A2.6.4!E$29</f>
        <v>1.2609853824104599E-3</v>
      </c>
      <c r="F4" s="640">
        <f>A2.6.4!F4/A2.6.4!F$29</f>
        <v>1.6871110483309155E-3</v>
      </c>
      <c r="G4" s="639">
        <f>A2.6.4!G4/A2.6.4!G$29</f>
        <v>1.4157635585440587E-3</v>
      </c>
      <c r="H4" s="640">
        <f>A2.6.4!H4/A2.6.4!H$29</f>
        <v>1.817225837806397E-3</v>
      </c>
      <c r="I4" s="639">
        <f>A2.6.4!I4/A2.6.4!I$29</f>
        <v>1.0244723392468403E-3</v>
      </c>
      <c r="J4" s="640">
        <f>A2.6.4!J4/A2.6.4!J$29</f>
        <v>9.8408329097872719E-4</v>
      </c>
      <c r="K4" s="639">
        <f>A2.6.4!K4/A2.6.4!K$29</f>
        <v>9.5575363178766531E-4</v>
      </c>
      <c r="L4" s="640">
        <f>A2.6.4!L4/A2.6.4!L$29</f>
        <v>8.7836091228436948E-4</v>
      </c>
    </row>
    <row r="5" spans="1:12" ht="13.35" customHeight="1" x14ac:dyDescent="0.2">
      <c r="B5" s="145"/>
      <c r="C5" s="16" t="s">
        <v>19</v>
      </c>
      <c r="D5" s="339" t="s">
        <v>129</v>
      </c>
      <c r="E5" s="639">
        <f>A2.6.4!E5/A2.6.4!E$29</f>
        <v>9.6479371263233351E-6</v>
      </c>
      <c r="F5" s="640">
        <f>A2.6.4!F5/A2.6.4!F$29</f>
        <v>8.8011820877417972E-6</v>
      </c>
      <c r="G5" s="639">
        <f>A2.6.4!G5/A2.6.4!G$29</f>
        <v>5.9611097201855096E-6</v>
      </c>
      <c r="H5" s="640">
        <f>A2.6.4!H5/A2.6.4!H$29</f>
        <v>5.6827385248504111E-6</v>
      </c>
      <c r="I5" s="639">
        <f>A2.6.4!I5/A2.6.4!I$29</f>
        <v>7.4997975054673525E-6</v>
      </c>
      <c r="J5" s="640">
        <f>A2.6.4!J5/A2.6.4!J$29</f>
        <v>6.6699963808660375E-6</v>
      </c>
      <c r="K5" s="639">
        <f>A2.6.4!K5/A2.6.4!K$29</f>
        <v>5.075696398235079E-6</v>
      </c>
      <c r="L5" s="640">
        <f>A2.6.4!L5/A2.6.4!L$29</f>
        <v>1.4753514769695317E-6</v>
      </c>
    </row>
    <row r="6" spans="1:12" ht="13.35" customHeight="1" x14ac:dyDescent="0.2">
      <c r="B6" s="145"/>
      <c r="C6" s="16" t="s">
        <v>20</v>
      </c>
      <c r="D6" s="338" t="s">
        <v>44</v>
      </c>
      <c r="E6" s="639">
        <f>A2.6.4!E6/A2.6.4!E$29</f>
        <v>3.2098686819277736E-3</v>
      </c>
      <c r="F6" s="640">
        <f>A2.6.4!F6/A2.6.4!F$29</f>
        <v>1.3509723673739398E-3</v>
      </c>
      <c r="G6" s="639">
        <f>A2.6.4!G6/A2.6.4!G$29</f>
        <v>4.5970091125497256E-3</v>
      </c>
      <c r="H6" s="640">
        <f>A2.6.4!H6/A2.6.4!H$29</f>
        <v>1.7606542289479736E-3</v>
      </c>
      <c r="I6" s="639">
        <f>A2.6.4!I6/A2.6.4!I$29</f>
        <v>3.6779006966811897E-3</v>
      </c>
      <c r="J6" s="640">
        <f>A2.6.4!J6/A2.6.4!J$29</f>
        <v>8.1735227108695467E-4</v>
      </c>
      <c r="K6" s="639">
        <f>A2.6.4!K6/A2.6.4!K$29</f>
        <v>2.6637254697937695E-3</v>
      </c>
      <c r="L6" s="640">
        <f>A2.6.4!L6/A2.6.4!L$29</f>
        <v>6.2542043404063472E-4</v>
      </c>
    </row>
    <row r="7" spans="1:12" ht="13.35" customHeight="1" x14ac:dyDescent="0.2">
      <c r="B7" s="145"/>
      <c r="C7" s="16" t="s">
        <v>21</v>
      </c>
      <c r="D7" s="338" t="s">
        <v>45</v>
      </c>
      <c r="E7" s="639">
        <f>A2.6.4!E7/A2.6.4!E$29</f>
        <v>3.2841577978004635E-3</v>
      </c>
      <c r="F7" s="640">
        <f>A2.6.4!F7/A2.6.4!F$29</f>
        <v>1.6346898863942917E-3</v>
      </c>
      <c r="G7" s="639">
        <f>A2.6.4!G7/A2.6.4!G$29</f>
        <v>4.9507016226140663E-3</v>
      </c>
      <c r="H7" s="640">
        <f>A2.6.4!H7/A2.6.4!H$29</f>
        <v>3.4477236541911984E-3</v>
      </c>
      <c r="I7" s="639">
        <f>A2.6.4!I7/A2.6.4!I$29</f>
        <v>3.8568958638116771E-3</v>
      </c>
      <c r="J7" s="640">
        <f>A2.6.4!J7/A2.6.4!J$29</f>
        <v>1.1405436560615761E-3</v>
      </c>
      <c r="K7" s="639">
        <f>A2.6.4!K7/A2.6.4!K$29</f>
        <v>2.9296919610612873E-3</v>
      </c>
      <c r="L7" s="640">
        <f>A2.6.4!L7/A2.6.4!L$29</f>
        <v>7.0704588787997636E-4</v>
      </c>
    </row>
    <row r="8" spans="1:12" ht="13.35" customHeight="1" x14ac:dyDescent="0.2">
      <c r="B8" s="145"/>
      <c r="C8" s="16" t="s">
        <v>22</v>
      </c>
      <c r="D8" s="338" t="s">
        <v>46</v>
      </c>
      <c r="E8" s="639">
        <f>A2.6.4!E8/A2.6.4!E$29</f>
        <v>4.9638636514933556E-3</v>
      </c>
      <c r="F8" s="640">
        <f>A2.6.4!F8/A2.6.4!F$29</f>
        <v>2.9554937312244018E-3</v>
      </c>
      <c r="G8" s="639">
        <f>A2.6.4!G8/A2.6.4!G$29</f>
        <v>6.5393373630435042E-3</v>
      </c>
      <c r="H8" s="640">
        <f>A2.6.4!H8/A2.6.4!H$29</f>
        <v>4.7660919759661474E-3</v>
      </c>
      <c r="I8" s="639">
        <f>A2.6.4!I8/A2.6.4!I$29</f>
        <v>5.6038486960852058E-3</v>
      </c>
      <c r="J8" s="640">
        <f>A2.6.4!J8/A2.6.4!J$29</f>
        <v>2.4309680163674225E-3</v>
      </c>
      <c r="K8" s="639">
        <f>A2.6.4!K8/A2.6.4!K$29</f>
        <v>4.2478503156829373E-3</v>
      </c>
      <c r="L8" s="640">
        <f>A2.6.4!L8/A2.6.4!L$29</f>
        <v>1.3662117386159303E-3</v>
      </c>
    </row>
    <row r="9" spans="1:12" ht="13.35" customHeight="1" x14ac:dyDescent="0.2">
      <c r="B9" s="145"/>
      <c r="C9" s="16" t="s">
        <v>23</v>
      </c>
      <c r="D9" s="338" t="s">
        <v>47</v>
      </c>
      <c r="E9" s="639">
        <f>A2.6.4!E9/A2.6.4!E$29</f>
        <v>7.0565012141928871E-3</v>
      </c>
      <c r="F9" s="640">
        <f>A2.6.4!F9/A2.6.4!F$29</f>
        <v>3.2209269138833412E-3</v>
      </c>
      <c r="G9" s="639">
        <f>A2.6.4!G9/A2.6.4!G$29</f>
        <v>6.3853420286053789E-3</v>
      </c>
      <c r="H9" s="640">
        <f>A2.6.4!H9/A2.6.4!H$29</f>
        <v>2.7889109631709808E-3</v>
      </c>
      <c r="I9" s="639">
        <f>A2.6.4!I9/A2.6.4!I$29</f>
        <v>7.6512934150777933E-3</v>
      </c>
      <c r="J9" s="640">
        <f>A2.6.4!J9/A2.6.4!J$29</f>
        <v>3.1771246484602294E-3</v>
      </c>
      <c r="K9" s="639">
        <f>A2.6.4!K9/A2.6.4!K$29</f>
        <v>7.9388967364794876E-3</v>
      </c>
      <c r="L9" s="640">
        <f>A2.6.4!L9/A2.6.4!L$29</f>
        <v>4.1517285367906479E-3</v>
      </c>
    </row>
    <row r="10" spans="1:12" s="50" customFormat="1" ht="13.35" customHeight="1" x14ac:dyDescent="0.2">
      <c r="B10" s="145"/>
      <c r="C10" s="16" t="s">
        <v>24</v>
      </c>
      <c r="D10" s="338" t="s">
        <v>48</v>
      </c>
      <c r="E10" s="639">
        <f>A2.6.4!E10/A2.6.4!E$29</f>
        <v>1.4661970050873573E-2</v>
      </c>
      <c r="F10" s="640">
        <f>A2.6.4!F10/A2.6.4!F$29</f>
        <v>7.2669182574287231E-3</v>
      </c>
      <c r="G10" s="639">
        <f>A2.6.4!G10/A2.6.4!G$29</f>
        <v>1.1258549224857032E-2</v>
      </c>
      <c r="H10" s="640">
        <f>A2.6.4!H10/A2.6.4!H$29</f>
        <v>5.2896783786423032E-3</v>
      </c>
      <c r="I10" s="639">
        <f>A2.6.4!I10/A2.6.4!I$29</f>
        <v>1.4320613343439727E-2</v>
      </c>
      <c r="J10" s="640">
        <f>A2.6.4!J10/A2.6.4!J$29</f>
        <v>7.484620575301533E-3</v>
      </c>
      <c r="K10" s="639">
        <f>A2.6.4!K10/A2.6.4!K$29</f>
        <v>1.087366439393901E-2</v>
      </c>
      <c r="L10" s="640">
        <f>A2.6.4!L10/A2.6.4!L$29</f>
        <v>5.0877164799717671E-3</v>
      </c>
    </row>
    <row r="11" spans="1:12" s="1" customFormat="1" ht="13.35" customHeight="1" x14ac:dyDescent="0.2">
      <c r="B11" s="631"/>
      <c r="C11" s="16" t="s">
        <v>25</v>
      </c>
      <c r="D11" s="338" t="s">
        <v>49</v>
      </c>
      <c r="E11" s="639">
        <f>A2.6.4!E11/A2.6.4!E$29</f>
        <v>2.1591118494998993E-2</v>
      </c>
      <c r="F11" s="640">
        <f>A2.6.4!F11/A2.6.4!F$29</f>
        <v>1.1228760853797091E-2</v>
      </c>
      <c r="G11" s="639">
        <f>A2.6.4!G11/A2.6.4!G$29</f>
        <v>2.3451999157496493E-2</v>
      </c>
      <c r="H11" s="640">
        <f>A2.6.4!H11/A2.6.4!H$29</f>
        <v>1.3017300988687036E-2</v>
      </c>
      <c r="I11" s="639">
        <f>A2.6.4!I11/A2.6.4!I$29</f>
        <v>2.6271790661652136E-2</v>
      </c>
      <c r="J11" s="640">
        <f>A2.6.4!J11/A2.6.4!J$29</f>
        <v>1.6975511179208848E-2</v>
      </c>
      <c r="K11" s="639">
        <f>A2.6.4!K11/A2.6.4!K$29</f>
        <v>1.8829310928532673E-2</v>
      </c>
      <c r="L11" s="640">
        <f>A2.6.4!L11/A2.6.4!L$29</f>
        <v>1.0889776855969214E-2</v>
      </c>
    </row>
    <row r="12" spans="1:12" s="1" customFormat="1" ht="13.35" customHeight="1" x14ac:dyDescent="0.2">
      <c r="B12" s="631"/>
      <c r="C12" s="16" t="s">
        <v>26</v>
      </c>
      <c r="D12" s="338" t="s">
        <v>50</v>
      </c>
      <c r="E12" s="639">
        <f>A2.6.4!E12/A2.6.4!E$29</f>
        <v>2.581595016261598E-2</v>
      </c>
      <c r="F12" s="640">
        <f>A2.6.4!F12/A2.6.4!F$29</f>
        <v>1.3964358655239279E-2</v>
      </c>
      <c r="G12" s="639">
        <f>A2.6.4!G12/A2.6.4!G$29</f>
        <v>2.647229474905715E-2</v>
      </c>
      <c r="H12" s="640">
        <f>A2.6.4!H12/A2.6.4!H$29</f>
        <v>1.4499983815670745E-2</v>
      </c>
      <c r="I12" s="639">
        <f>A2.6.4!I12/A2.6.4!I$29</f>
        <v>3.9517933015808575E-2</v>
      </c>
      <c r="J12" s="640">
        <f>A2.6.4!J12/A2.6.4!J$29</f>
        <v>2.8017794406869193E-2</v>
      </c>
      <c r="K12" s="639">
        <f>A2.6.4!K12/A2.6.4!K$29</f>
        <v>3.1263244395289144E-2</v>
      </c>
      <c r="L12" s="640">
        <f>A2.6.4!L12/A2.6.4!L$29</f>
        <v>2.1157076037541703E-2</v>
      </c>
    </row>
    <row r="13" spans="1:12" s="1" customFormat="1" ht="13.35" customHeight="1" x14ac:dyDescent="0.2">
      <c r="B13" s="631"/>
      <c r="C13" s="16" t="s">
        <v>27</v>
      </c>
      <c r="D13" s="338" t="s">
        <v>51</v>
      </c>
      <c r="E13" s="639">
        <f>A2.6.4!E13/A2.6.4!E$29</f>
        <v>3.1548754403077306E-2</v>
      </c>
      <c r="F13" s="640">
        <f>A2.6.4!F13/A2.6.4!F$29</f>
        <v>1.8708849648766408E-2</v>
      </c>
      <c r="G13" s="639">
        <f>A2.6.4!G13/A2.6.4!G$29</f>
        <v>3.1115999221081662E-2</v>
      </c>
      <c r="H13" s="640">
        <f>A2.6.4!H13/A2.6.4!H$29</f>
        <v>1.8717862062427888E-2</v>
      </c>
      <c r="I13" s="639">
        <f>A2.6.4!I13/A2.6.4!I$29</f>
        <v>3.7598984827409657E-2</v>
      </c>
      <c r="J13" s="640">
        <f>A2.6.4!J13/A2.6.4!J$29</f>
        <v>2.7528638677055725E-2</v>
      </c>
      <c r="K13" s="639">
        <f>A2.6.4!K13/A2.6.4!K$29</f>
        <v>3.8560065537391892E-2</v>
      </c>
      <c r="L13" s="640">
        <f>A2.6.4!L13/A2.6.4!L$29</f>
        <v>2.7292106581981997E-2</v>
      </c>
    </row>
    <row r="14" spans="1:12" s="1" customFormat="1" ht="13.35" customHeight="1" x14ac:dyDescent="0.2">
      <c r="B14" s="631"/>
      <c r="C14" s="16" t="s">
        <v>28</v>
      </c>
      <c r="D14" s="338" t="s">
        <v>52</v>
      </c>
      <c r="E14" s="639">
        <f>A2.6.4!E14/A2.6.4!E$29</f>
        <v>3.93722666188129E-2</v>
      </c>
      <c r="F14" s="640">
        <f>A2.6.4!F14/A2.6.4!F$29</f>
        <v>2.585375624626288E-2</v>
      </c>
      <c r="G14" s="639">
        <f>A2.6.4!G14/A2.6.4!G$29</f>
        <v>3.5322555646959235E-2</v>
      </c>
      <c r="H14" s="640">
        <f>A2.6.4!H14/A2.6.4!H$29</f>
        <v>2.2035569512042847E-2</v>
      </c>
      <c r="I14" s="639">
        <f>A2.6.4!I14/A2.6.4!I$29</f>
        <v>3.6551013122645686E-2</v>
      </c>
      <c r="J14" s="640">
        <f>A2.6.4!J14/A2.6.4!J$29</f>
        <v>2.8366664740434946E-2</v>
      </c>
      <c r="K14" s="639">
        <f>A2.6.4!K14/A2.6.4!K$29</f>
        <v>3.8238773955383616E-2</v>
      </c>
      <c r="L14" s="640">
        <f>A2.6.4!L14/A2.6.4!L$29</f>
        <v>2.8781673716943925E-2</v>
      </c>
    </row>
    <row r="15" spans="1:12" customFormat="1" ht="13.35" customHeight="1" x14ac:dyDescent="0.2">
      <c r="A15" s="1"/>
      <c r="B15" s="631"/>
      <c r="C15" s="16" t="s">
        <v>29</v>
      </c>
      <c r="D15" s="338" t="s">
        <v>53</v>
      </c>
      <c r="E15" s="639">
        <f>A2.6.4!E15/A2.6.4!E$29</f>
        <v>5.1482357299773948E-2</v>
      </c>
      <c r="F15" s="640">
        <f>A2.6.4!F15/A2.6.4!F$29</f>
        <v>3.9830481231793134E-2</v>
      </c>
      <c r="G15" s="639">
        <f>A2.6.4!G15/A2.6.4!G$29</f>
        <v>4.0702457169426658E-2</v>
      </c>
      <c r="H15" s="640">
        <f>A2.6.4!H15/A2.6.4!H$29</f>
        <v>2.6073930505320173E-2</v>
      </c>
      <c r="I15" s="639">
        <f>A2.6.4!I15/A2.6.4!I$29</f>
        <v>3.9401936147724012E-2</v>
      </c>
      <c r="J15" s="640">
        <f>A2.6.4!J15/A2.6.4!J$29</f>
        <v>3.1423990874037466E-2</v>
      </c>
      <c r="K15" s="639">
        <f>A2.6.4!K15/A2.6.4!K$29</f>
        <v>3.6011050806198236E-2</v>
      </c>
      <c r="L15" s="640">
        <f>A2.6.4!L15/A2.6.4!L$29</f>
        <v>2.7847316572134673E-2</v>
      </c>
    </row>
    <row r="16" spans="1:12" customFormat="1" ht="13.35" customHeight="1" x14ac:dyDescent="0.2">
      <c r="A16" s="1"/>
      <c r="B16" s="631"/>
      <c r="C16" s="16" t="s">
        <v>30</v>
      </c>
      <c r="D16" s="338" t="s">
        <v>54</v>
      </c>
      <c r="E16" s="639">
        <f>A2.6.4!E16/A2.6.4!E$29</f>
        <v>4.2633269367510183E-2</v>
      </c>
      <c r="F16" s="640">
        <f>A2.6.4!F16/A2.6.4!F$29</f>
        <v>2.9830787525847967E-2</v>
      </c>
      <c r="G16" s="639">
        <f>A2.6.4!G16/A2.6.4!G$29</f>
        <v>5.1570553707611544E-2</v>
      </c>
      <c r="H16" s="640">
        <f>A2.6.4!H16/A2.6.4!H$29</f>
        <v>4.0205638219074469E-2</v>
      </c>
      <c r="I16" s="639">
        <f>A2.6.4!I16/A2.6.4!I$29</f>
        <v>4.1603876695329223E-2</v>
      </c>
      <c r="J16" s="640">
        <f>A2.6.4!J16/A2.6.4!J$29</f>
        <v>3.642463918825789E-2</v>
      </c>
      <c r="K16" s="639">
        <f>A2.6.4!K16/A2.6.4!K$29</f>
        <v>3.6931274563198259E-2</v>
      </c>
      <c r="L16" s="640">
        <f>A2.6.4!L16/A2.6.4!L$29</f>
        <v>2.9532100203977486E-2</v>
      </c>
    </row>
    <row r="17" spans="1:12" customFormat="1" ht="13.35" customHeight="1" x14ac:dyDescent="0.2">
      <c r="A17" s="1"/>
      <c r="B17" s="631"/>
      <c r="C17" s="16" t="s">
        <v>31</v>
      </c>
      <c r="D17" s="338" t="s">
        <v>55</v>
      </c>
      <c r="E17" s="639">
        <f>A2.6.4!E17/A2.6.4!E$29</f>
        <v>4.1507355104868256E-2</v>
      </c>
      <c r="F17" s="640">
        <f>A2.6.4!F17/A2.6.4!F$29</f>
        <v>2.7766076229075499E-2</v>
      </c>
      <c r="G17" s="639">
        <f>A2.6.4!G17/A2.6.4!G$29</f>
        <v>4.0321939665621483E-2</v>
      </c>
      <c r="H17" s="640">
        <f>A2.6.4!H17/A2.6.4!H$29</f>
        <v>2.8341516904562294E-2</v>
      </c>
      <c r="I17" s="639">
        <f>A2.6.4!I17/A2.6.4!I$29</f>
        <v>4.7071229076814929E-2</v>
      </c>
      <c r="J17" s="640">
        <f>A2.6.4!J17/A2.6.4!J$29</f>
        <v>4.3908926784197902E-2</v>
      </c>
      <c r="K17" s="639">
        <f>A2.6.4!K17/A2.6.4!K$29</f>
        <v>3.8798623268108942E-2</v>
      </c>
      <c r="L17" s="640">
        <f>A2.6.4!L17/A2.6.4!L$29</f>
        <v>3.4577951810381549E-2</v>
      </c>
    </row>
    <row r="18" spans="1:12" customFormat="1" ht="13.35" customHeight="1" x14ac:dyDescent="0.2">
      <c r="A18" s="1"/>
      <c r="B18" s="631"/>
      <c r="C18" s="16" t="s">
        <v>32</v>
      </c>
      <c r="D18" s="338" t="s">
        <v>56</v>
      </c>
      <c r="E18" s="639">
        <f>A2.6.4!E18/A2.6.4!E$29</f>
        <v>4.5672369562302036E-2</v>
      </c>
      <c r="F18" s="640">
        <f>A2.6.4!F18/A2.6.4!F$29</f>
        <v>3.0619292029470706E-2</v>
      </c>
      <c r="G18" s="639">
        <f>A2.6.4!G18/A2.6.4!G$29</f>
        <v>3.6709507175189067E-2</v>
      </c>
      <c r="H18" s="640">
        <f>A2.6.4!H18/A2.6.4!H$29</f>
        <v>2.4877479094274974E-2</v>
      </c>
      <c r="I18" s="639">
        <f>A2.6.4!I18/A2.6.4!I$29</f>
        <v>4.1391382432674317E-2</v>
      </c>
      <c r="J18" s="640">
        <f>A2.6.4!J18/A2.6.4!J$29</f>
        <v>3.7744229137096276E-2</v>
      </c>
      <c r="K18" s="639">
        <f>A2.6.4!K18/A2.6.4!K$29</f>
        <v>4.7487707932247575E-2</v>
      </c>
      <c r="L18" s="640">
        <f>A2.6.4!L18/A2.6.4!L$29</f>
        <v>4.6202447336712624E-2</v>
      </c>
    </row>
    <row r="19" spans="1:12" customFormat="1" ht="13.35" customHeight="1" x14ac:dyDescent="0.2">
      <c r="A19" s="1"/>
      <c r="B19" s="631"/>
      <c r="C19" s="16" t="s">
        <v>33</v>
      </c>
      <c r="D19" s="338" t="s">
        <v>57</v>
      </c>
      <c r="E19" s="639">
        <f>A2.6.4!E19/A2.6.4!E$29</f>
        <v>4.025215848473359E-2</v>
      </c>
      <c r="F19" s="640">
        <f>A2.6.4!F19/A2.6.4!F$29</f>
        <v>2.8734197377479218E-2</v>
      </c>
      <c r="G19" s="639">
        <f>A2.6.4!G19/A2.6.4!G$29</f>
        <v>3.6095512874009958E-2</v>
      </c>
      <c r="H19" s="640">
        <f>A2.6.4!H19/A2.6.4!H$29</f>
        <v>2.498247523986611E-2</v>
      </c>
      <c r="I19" s="639">
        <f>A2.6.4!I19/A2.6.4!I$29</f>
        <v>3.8848951078320884E-2</v>
      </c>
      <c r="J19" s="640">
        <f>A2.6.4!J19/A2.6.4!J$29</f>
        <v>3.5072219856849149E-2</v>
      </c>
      <c r="K19" s="639">
        <f>A2.6.4!K19/A2.6.4!K$29</f>
        <v>3.9121437559036694E-2</v>
      </c>
      <c r="L19" s="640">
        <f>A2.6.4!L19/A2.6.4!L$29</f>
        <v>3.6434492372429308E-2</v>
      </c>
    </row>
    <row r="20" spans="1:12" customFormat="1" ht="13.35" customHeight="1" x14ac:dyDescent="0.2">
      <c r="A20" s="1"/>
      <c r="B20" s="631"/>
      <c r="C20" s="16" t="s">
        <v>34</v>
      </c>
      <c r="D20" s="338" t="s">
        <v>58</v>
      </c>
      <c r="E20" s="639">
        <f>A2.6.4!E20/A2.6.4!E$29</f>
        <v>0.17281577939412884</v>
      </c>
      <c r="F20" s="640">
        <f>A2.6.4!F20/A2.6.4!F$29</f>
        <v>0.14036528429097378</v>
      </c>
      <c r="G20" s="639">
        <f>A2.6.4!G20/A2.6.4!G$29</f>
        <v>0.17556660347890363</v>
      </c>
      <c r="H20" s="640">
        <f>A2.6.4!H20/A2.6.4!H$29</f>
        <v>0.13409780941487662</v>
      </c>
      <c r="I20" s="639">
        <f>A2.6.4!I20/A2.6.4!I$29</f>
        <v>0.20005259857983834</v>
      </c>
      <c r="J20" s="640">
        <f>A2.6.4!J20/A2.6.4!J$29</f>
        <v>0.18990780930886414</v>
      </c>
      <c r="K20" s="639">
        <f>A2.6.4!K20/A2.6.4!K$29</f>
        <v>0.18833219214759314</v>
      </c>
      <c r="L20" s="640">
        <f>A2.6.4!L20/A2.6.4!L$29</f>
        <v>0.17682836997469367</v>
      </c>
    </row>
    <row r="21" spans="1:12" customFormat="1" ht="13.35" customHeight="1" x14ac:dyDescent="0.2">
      <c r="A21" s="1"/>
      <c r="B21" s="631"/>
      <c r="C21" s="16" t="s">
        <v>35</v>
      </c>
      <c r="D21" s="338" t="s">
        <v>59</v>
      </c>
      <c r="E21" s="639">
        <f>A2.6.4!E21/A2.6.4!E$29</f>
        <v>0.18625728539852252</v>
      </c>
      <c r="F21" s="640">
        <f>A2.6.4!F21/A2.6.4!F$29</f>
        <v>0.18858433600270419</v>
      </c>
      <c r="G21" s="639">
        <f>A2.6.4!G21/A2.6.4!G$29</f>
        <v>0.19678020593647047</v>
      </c>
      <c r="H21" s="640">
        <f>A2.6.4!H21/A2.6.4!H$29</f>
        <v>0.19002162485441612</v>
      </c>
      <c r="I21" s="639">
        <f>A2.6.4!I21/A2.6.4!I$29</f>
        <v>0.20296401997146077</v>
      </c>
      <c r="J21" s="640">
        <f>A2.6.4!J21/A2.6.4!J$29</f>
        <v>0.20737850104548228</v>
      </c>
      <c r="K21" s="639">
        <f>A2.6.4!K21/A2.6.4!K$29</f>
        <v>0.22410113223559555</v>
      </c>
      <c r="L21" s="640">
        <f>A2.6.4!L21/A2.6.4!L$29</f>
        <v>0.22892344204786347</v>
      </c>
    </row>
    <row r="22" spans="1:12" customFormat="1" ht="13.35" customHeight="1" x14ac:dyDescent="0.2">
      <c r="A22" s="1"/>
      <c r="B22" s="631"/>
      <c r="C22" s="16" t="s">
        <v>36</v>
      </c>
      <c r="D22" s="338" t="s">
        <v>60</v>
      </c>
      <c r="E22" s="639">
        <f>A2.6.4!E22/A2.6.4!E$29</f>
        <v>0.10064824489551767</v>
      </c>
      <c r="F22" s="640">
        <f>A2.6.4!F22/A2.6.4!F$29</f>
        <v>0.12434146342558965</v>
      </c>
      <c r="G22" s="639">
        <f>A2.6.4!G22/A2.6.4!G$29</f>
        <v>0.10431643954838633</v>
      </c>
      <c r="H22" s="640">
        <f>A2.6.4!H22/A2.6.4!H$29</f>
        <v>0.12755708643732741</v>
      </c>
      <c r="I22" s="639">
        <f>A2.6.4!I22/A2.6.4!I$29</f>
        <v>8.8084121728713327E-2</v>
      </c>
      <c r="J22" s="640">
        <f>A2.6.4!J22/A2.6.4!J$29</f>
        <v>0.10235865128067625</v>
      </c>
      <c r="K22" s="639">
        <f>A2.6.4!K22/A2.6.4!K$29</f>
        <v>9.2155866515275561E-2</v>
      </c>
      <c r="L22" s="640">
        <f>A2.6.4!L22/A2.6.4!L$29</f>
        <v>0.10436179239522989</v>
      </c>
    </row>
    <row r="23" spans="1:12" customFormat="1" ht="13.35" customHeight="1" x14ac:dyDescent="0.2">
      <c r="A23" s="1"/>
      <c r="B23" s="631"/>
      <c r="C23" s="16" t="s">
        <v>37</v>
      </c>
      <c r="D23" s="338" t="s">
        <v>61</v>
      </c>
      <c r="E23" s="639">
        <f>A2.6.4!E23/A2.6.4!E$29</f>
        <v>5.614231093178812E-2</v>
      </c>
      <c r="F23" s="640">
        <f>A2.6.4!F23/A2.6.4!F$29</f>
        <v>8.007954617233469E-2</v>
      </c>
      <c r="G23" s="639">
        <f>A2.6.4!G23/A2.6.4!G$29</f>
        <v>5.6964364486092732E-2</v>
      </c>
      <c r="H23" s="640">
        <f>A2.6.4!H23/A2.6.4!H$29</f>
        <v>8.3183421727977741E-2</v>
      </c>
      <c r="I23" s="639">
        <f>A2.6.4!I23/A2.6.4!I$29</f>
        <v>4.4790290662152121E-2</v>
      </c>
      <c r="J23" s="640">
        <f>A2.6.4!J23/A2.6.4!J$29</f>
        <v>5.9916680531399716E-2</v>
      </c>
      <c r="K23" s="639">
        <f>A2.6.4!K23/A2.6.4!K$29</f>
        <v>5.0604185520763914E-2</v>
      </c>
      <c r="L23" s="640">
        <f>A2.6.4!L23/A2.6.4!L$29</f>
        <v>6.4069202280031393E-2</v>
      </c>
    </row>
    <row r="24" spans="1:12" customFormat="1" ht="13.35" customHeight="1" x14ac:dyDescent="0.2">
      <c r="A24" s="1"/>
      <c r="B24" s="631"/>
      <c r="C24" s="16" t="s">
        <v>38</v>
      </c>
      <c r="D24" s="338" t="s">
        <v>62</v>
      </c>
      <c r="E24" s="639">
        <f>A2.6.4!E24/A2.6.4!E$29</f>
        <v>6.0410558316473566E-2</v>
      </c>
      <c r="F24" s="640">
        <f>A2.6.4!F24/A2.6.4!F$29</f>
        <v>0.10326021339647917</v>
      </c>
      <c r="G24" s="639">
        <f>A2.6.4!G24/A2.6.4!G$29</f>
        <v>6.1817701316610435E-2</v>
      </c>
      <c r="H24" s="640">
        <f>A2.6.4!H24/A2.6.4!H$29</f>
        <v>0.109948387246211</v>
      </c>
      <c r="I24" s="639">
        <f>A2.6.4!I24/A2.6.4!I$29</f>
        <v>4.653574353492456E-2</v>
      </c>
      <c r="J24" s="640">
        <f>A2.6.4!J24/A2.6.4!J$29</f>
        <v>7.1116877831484945E-2</v>
      </c>
      <c r="K24" s="639">
        <f>A2.6.4!K24/A2.6.4!K$29</f>
        <v>5.2074614767332612E-2</v>
      </c>
      <c r="L24" s="640">
        <f>A2.6.4!L24/A2.6.4!L$29</f>
        <v>7.6421890837118187E-2</v>
      </c>
    </row>
    <row r="25" spans="1:12" customFormat="1" ht="13.35" customHeight="1" x14ac:dyDescent="0.2">
      <c r="A25" s="1"/>
      <c r="B25" s="631"/>
      <c r="C25" s="16" t="s">
        <v>39</v>
      </c>
      <c r="D25" s="338" t="s">
        <v>63</v>
      </c>
      <c r="E25" s="639">
        <f>A2.6.4!E25/A2.6.4!E$29</f>
        <v>2.1469554487207318E-2</v>
      </c>
      <c r="F25" s="640">
        <f>A2.6.4!F25/A2.6.4!F$29</f>
        <v>4.4905113776362027E-2</v>
      </c>
      <c r="G25" s="639">
        <f>A2.6.4!G25/A2.6.4!G$29</f>
        <v>2.1387468157738912E-2</v>
      </c>
      <c r="H25" s="640">
        <f>A2.6.4!H25/A2.6.4!H$29</f>
        <v>4.8049075127807477E-2</v>
      </c>
      <c r="I25" s="639">
        <f>A2.6.4!I25/A2.6.4!I$29</f>
        <v>1.5028594227955844E-2</v>
      </c>
      <c r="J25" s="640">
        <f>A2.6.4!J25/A2.6.4!J$29</f>
        <v>2.7521870148281165E-2</v>
      </c>
      <c r="K25" s="639">
        <f>A2.6.4!K25/A2.6.4!K$29</f>
        <v>1.7803005116809538E-2</v>
      </c>
      <c r="L25" s="640">
        <f>A2.6.4!L25/A2.6.4!L$29</f>
        <v>3.035172825561851E-2</v>
      </c>
    </row>
    <row r="26" spans="1:12" customFormat="1" ht="13.35" customHeight="1" x14ac:dyDescent="0.2">
      <c r="A26" s="1"/>
      <c r="B26" s="631"/>
      <c r="C26" s="16" t="s">
        <v>40</v>
      </c>
      <c r="D26" s="338" t="s">
        <v>64</v>
      </c>
      <c r="E26" s="639">
        <f>A2.6.4!E26/A2.6.4!E$29</f>
        <v>2.0952425057236386E-2</v>
      </c>
      <c r="F26" s="640">
        <f>A2.6.4!F26/A2.6.4!F$29</f>
        <v>5.3100610771638794E-2</v>
      </c>
      <c r="G26" s="639">
        <f>A2.6.4!G26/A2.6.4!G$29</f>
        <v>1.9868378697378303E-2</v>
      </c>
      <c r="H26" s="640">
        <f>A2.6.4!H26/A2.6.4!H$29</f>
        <v>5.3767030121740084E-2</v>
      </c>
      <c r="I26" s="639">
        <f>A2.6.4!I26/A2.6.4!I$29</f>
        <v>1.3786127774550088E-2</v>
      </c>
      <c r="J26" s="640">
        <f>A2.6.4!J26/A2.6.4!J$29</f>
        <v>2.9348704264221794E-2</v>
      </c>
      <c r="K26" s="639">
        <f>A2.6.4!K26/A2.6.4!K$29</f>
        <v>1.5499146521650636E-2</v>
      </c>
      <c r="L26" s="640">
        <f>A2.6.4!L26/A2.6.4!L$29</f>
        <v>3.1900035010928016E-2</v>
      </c>
    </row>
    <row r="27" spans="1:12" customFormat="1" ht="13.35" customHeight="1" x14ac:dyDescent="0.2">
      <c r="A27" s="1"/>
      <c r="B27" s="631"/>
      <c r="C27" s="16" t="s">
        <v>41</v>
      </c>
      <c r="D27" s="338" t="s">
        <v>65</v>
      </c>
      <c r="E27" s="639">
        <f>A2.6.4!E27/A2.6.4!E$29</f>
        <v>5.8543682482530002E-3</v>
      </c>
      <c r="F27" s="640">
        <f>A2.6.4!F27/A2.6.4!F$29</f>
        <v>1.7236786310824089E-2</v>
      </c>
      <c r="G27" s="639">
        <f>A2.6.4!G27/A2.6.4!G$29</f>
        <v>5.4673311316968103E-3</v>
      </c>
      <c r="H27" s="640">
        <f>A2.6.4!H27/A2.6.4!H$29</f>
        <v>1.757632628009213E-2</v>
      </c>
      <c r="I27" s="639">
        <f>A2.6.4!I27/A2.6.4!I$29</f>
        <v>3.7368991037241995E-3</v>
      </c>
      <c r="J27" s="640">
        <f>A2.6.4!J27/A2.6.4!J$29</f>
        <v>9.3076752620376395E-3</v>
      </c>
      <c r="K27" s="639">
        <f>A2.6.4!K27/A2.6.4!K$29</f>
        <v>3.8763093393321298E-3</v>
      </c>
      <c r="L27" s="640">
        <f>A2.6.4!L27/A2.6.4!L$29</f>
        <v>9.7121738060832515E-3</v>
      </c>
    </row>
    <row r="28" spans="1:12" customFormat="1" ht="13.35" customHeight="1" x14ac:dyDescent="0.2">
      <c r="A28" s="1"/>
      <c r="B28" s="632"/>
      <c r="C28" s="280" t="s">
        <v>42</v>
      </c>
      <c r="D28" s="434" t="s">
        <v>66</v>
      </c>
      <c r="E28" s="641">
        <f>A2.6.4!E28/A2.6.4!E$29</f>
        <v>1.1268790563545654E-3</v>
      </c>
      <c r="F28" s="642">
        <f>A2.6.4!F28/A2.6.4!F$29</f>
        <v>3.4651726686380055E-3</v>
      </c>
      <c r="G28" s="641">
        <f>A2.6.4!G28/A2.6.4!G$29</f>
        <v>9.160238603351733E-4</v>
      </c>
      <c r="H28" s="642">
        <f>A2.6.4!H28/A2.6.4!H$29</f>
        <v>3.1715146703749169E-3</v>
      </c>
      <c r="I28" s="641">
        <f>A2.6.4!I28/A2.6.4!I$29</f>
        <v>6.2198320645342575E-4</v>
      </c>
      <c r="J28" s="642">
        <f>A2.6.4!J28/A2.6.4!J$29</f>
        <v>1.6392530289071957E-3</v>
      </c>
      <c r="K28" s="641">
        <f>A2.6.4!K28/A2.6.4!K$29</f>
        <v>6.9740068511749988E-4</v>
      </c>
      <c r="L28" s="642">
        <f>A2.6.4!L28/A2.6.4!L$29</f>
        <v>1.8984645633007035E-3</v>
      </c>
    </row>
    <row r="29" spans="1:12" customFormat="1" ht="13.35" customHeight="1" x14ac:dyDescent="0.2">
      <c r="A29" s="1"/>
      <c r="B29" s="632"/>
      <c r="C29" s="635" t="s">
        <v>8</v>
      </c>
      <c r="D29" s="636"/>
      <c r="E29" s="643">
        <f>A2.6.4!E29/A2.6.4!E$29</f>
        <v>1</v>
      </c>
      <c r="F29" s="644">
        <f>A2.6.4!F29/A2.6.4!F$29</f>
        <v>1</v>
      </c>
      <c r="G29" s="643">
        <f>A2.6.4!G29/A2.6.4!G$29</f>
        <v>1</v>
      </c>
      <c r="H29" s="644">
        <f>A2.6.4!H29/A2.6.4!H$29</f>
        <v>1</v>
      </c>
      <c r="I29" s="643">
        <f>A2.6.4!I29/A2.6.4!I$29</f>
        <v>1</v>
      </c>
      <c r="J29" s="644">
        <f>A2.6.4!J29/A2.6.4!J$29</f>
        <v>1</v>
      </c>
      <c r="K29" s="643">
        <f>A2.6.4!K29/A2.6.4!K$29</f>
        <v>1</v>
      </c>
      <c r="L29" s="644">
        <f>A2.6.4!L29/A2.6.4!L$29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3">
    <mergeCell ref="C3:D3"/>
    <mergeCell ref="B1:L1"/>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enableFormatConditionsCalculation="0">
    <tabColor theme="7" tint="0.79998168889431442"/>
    <pageSetUpPr fitToPage="1"/>
  </sheetPr>
  <dimension ref="B1:L69"/>
  <sheetViews>
    <sheetView showGridLines="0" zoomScaleNormal="100" zoomScaleSheetLayoutView="90" workbookViewId="0"/>
  </sheetViews>
  <sheetFormatPr defaultColWidth="9.140625" defaultRowHeight="12.75" x14ac:dyDescent="0.2"/>
  <cols>
    <col min="1" max="1" width="3.7109375" style="10" customWidth="1"/>
    <col min="2" max="2" width="0.85546875" customWidth="1"/>
    <col min="3" max="3" width="4.7109375" style="2" customWidth="1"/>
    <col min="4" max="4" width="37.5703125" style="2" customWidth="1"/>
    <col min="5" max="6" width="10.5703125" style="2" customWidth="1"/>
    <col min="7" max="8" width="10.5703125" style="14" customWidth="1"/>
    <col min="9" max="12" width="10.5703125" style="6" customWidth="1"/>
    <col min="13" max="16384" width="9.140625" style="10"/>
  </cols>
  <sheetData>
    <row r="1" spans="2:12" s="8" customFormat="1" ht="15" customHeight="1" x14ac:dyDescent="0.2">
      <c r="B1" s="439" t="s">
        <v>377</v>
      </c>
      <c r="C1" s="311"/>
      <c r="D1" s="311"/>
      <c r="E1" s="355"/>
      <c r="F1" s="355"/>
      <c r="G1" s="356"/>
      <c r="H1" s="61"/>
      <c r="I1" s="4"/>
      <c r="J1" s="4"/>
      <c r="K1" s="4"/>
      <c r="L1" s="4"/>
    </row>
    <row r="2" spans="2:12" s="8" customFormat="1" ht="15" customHeight="1" x14ac:dyDescent="0.2">
      <c r="B2" s="463"/>
      <c r="C2" s="464" t="s">
        <v>168</v>
      </c>
      <c r="D2" s="526"/>
      <c r="E2" s="466" t="s">
        <v>576</v>
      </c>
      <c r="F2" s="468"/>
      <c r="G2" s="469" t="s">
        <v>577</v>
      </c>
      <c r="H2" s="468"/>
      <c r="I2" s="469" t="s">
        <v>578</v>
      </c>
      <c r="J2" s="468"/>
      <c r="K2" s="1033" t="s">
        <v>579</v>
      </c>
      <c r="L2" s="1020"/>
    </row>
    <row r="3" spans="2:12" ht="33.75" x14ac:dyDescent="0.2">
      <c r="B3" s="610"/>
      <c r="C3" s="611" t="s">
        <v>91</v>
      </c>
      <c r="D3" s="625"/>
      <c r="E3" s="623" t="s">
        <v>17</v>
      </c>
      <c r="F3" s="624" t="s">
        <v>89</v>
      </c>
      <c r="G3" s="623" t="s">
        <v>17</v>
      </c>
      <c r="H3" s="624" t="s">
        <v>89</v>
      </c>
      <c r="I3" s="623" t="s">
        <v>17</v>
      </c>
      <c r="J3" s="624" t="s">
        <v>89</v>
      </c>
      <c r="K3" s="623" t="s">
        <v>17</v>
      </c>
      <c r="L3" s="624" t="s">
        <v>89</v>
      </c>
    </row>
    <row r="4" spans="2:12" ht="13.35" customHeight="1" x14ac:dyDescent="0.2">
      <c r="B4" s="48"/>
      <c r="C4" s="90">
        <v>4001</v>
      </c>
      <c r="D4" s="338" t="s">
        <v>75</v>
      </c>
      <c r="E4" s="15">
        <v>1905733</v>
      </c>
      <c r="F4" s="24">
        <v>20270.97221</v>
      </c>
      <c r="G4" s="15">
        <v>2024385</v>
      </c>
      <c r="H4" s="24">
        <v>23389.281140999999</v>
      </c>
      <c r="I4" s="15">
        <v>2088558</v>
      </c>
      <c r="J4" s="24">
        <v>25979.119663000001</v>
      </c>
      <c r="K4" s="15">
        <v>2101978</v>
      </c>
      <c r="L4" s="24">
        <v>27880.379621</v>
      </c>
    </row>
    <row r="5" spans="2:12" ht="13.35" customHeight="1" x14ac:dyDescent="0.2">
      <c r="B5" s="48"/>
      <c r="C5" s="90">
        <v>4002</v>
      </c>
      <c r="D5" s="338" t="s">
        <v>453</v>
      </c>
      <c r="E5" s="15">
        <v>49479</v>
      </c>
      <c r="F5" s="24">
        <v>65.652191999999999</v>
      </c>
      <c r="G5" s="15">
        <v>53815</v>
      </c>
      <c r="H5" s="24">
        <v>69.175601</v>
      </c>
      <c r="I5" s="15">
        <v>54948</v>
      </c>
      <c r="J5" s="24">
        <v>75.693675999999996</v>
      </c>
      <c r="K5" s="15">
        <v>54849</v>
      </c>
      <c r="L5" s="24">
        <v>76.854979</v>
      </c>
    </row>
    <row r="6" spans="2:12" ht="13.35" customHeight="1" x14ac:dyDescent="0.2">
      <c r="B6" s="48"/>
      <c r="C6" s="90">
        <v>4006</v>
      </c>
      <c r="D6" s="338" t="s">
        <v>574</v>
      </c>
      <c r="E6" s="15">
        <v>1290062</v>
      </c>
      <c r="F6" s="24">
        <v>10452.804217999999</v>
      </c>
      <c r="G6" s="15">
        <v>1310052</v>
      </c>
      <c r="H6" s="24">
        <v>11201.854160999999</v>
      </c>
      <c r="I6" s="15">
        <v>1349422</v>
      </c>
      <c r="J6" s="24">
        <v>12767.93426</v>
      </c>
      <c r="K6" s="15">
        <v>1377746</v>
      </c>
      <c r="L6" s="24">
        <v>13679.88867</v>
      </c>
    </row>
    <row r="7" spans="2:12" ht="13.35" customHeight="1" x14ac:dyDescent="0.2">
      <c r="B7" s="48"/>
      <c r="C7" s="90">
        <v>4007</v>
      </c>
      <c r="D7" s="338" t="s">
        <v>575</v>
      </c>
      <c r="E7" s="15">
        <v>19556</v>
      </c>
      <c r="F7" s="24">
        <v>28.759954</v>
      </c>
      <c r="G7" s="15">
        <v>23879</v>
      </c>
      <c r="H7" s="24">
        <v>32.969088999999997</v>
      </c>
      <c r="I7" s="15">
        <v>27510</v>
      </c>
      <c r="J7" s="24">
        <v>35.963645</v>
      </c>
      <c r="K7" s="15">
        <v>25620</v>
      </c>
      <c r="L7" s="24">
        <v>35.571069000000001</v>
      </c>
    </row>
    <row r="8" spans="2:12" ht="13.35" customHeight="1" x14ac:dyDescent="0.2">
      <c r="B8" s="48"/>
      <c r="C8" s="90">
        <v>4008</v>
      </c>
      <c r="D8" s="338" t="s">
        <v>76</v>
      </c>
      <c r="E8" s="15">
        <v>2210660</v>
      </c>
      <c r="F8" s="24">
        <v>23267.073735000002</v>
      </c>
      <c r="G8" s="15">
        <v>2309152</v>
      </c>
      <c r="H8" s="24">
        <v>27355.763000999999</v>
      </c>
      <c r="I8" s="15">
        <v>2893314</v>
      </c>
      <c r="J8" s="24">
        <v>56371.697233999999</v>
      </c>
      <c r="K8" s="15">
        <v>2905218</v>
      </c>
      <c r="L8" s="24">
        <v>60609.051098000004</v>
      </c>
    </row>
    <row r="9" spans="2:12" s="1" customFormat="1" ht="13.35" customHeight="1" x14ac:dyDescent="0.2">
      <c r="B9" s="26"/>
      <c r="C9" s="90">
        <v>4009</v>
      </c>
      <c r="D9" s="338" t="s">
        <v>141</v>
      </c>
      <c r="E9" s="15">
        <v>31054</v>
      </c>
      <c r="F9" s="24">
        <v>1128.5544910000001</v>
      </c>
      <c r="G9" s="15">
        <v>29343</v>
      </c>
      <c r="H9" s="24">
        <v>1202.141273</v>
      </c>
      <c r="I9" s="15">
        <v>30771</v>
      </c>
      <c r="J9" s="24">
        <v>1625.8816220000001</v>
      </c>
      <c r="K9" s="15">
        <v>38365</v>
      </c>
      <c r="L9" s="24">
        <v>2122.4801520000001</v>
      </c>
    </row>
    <row r="10" spans="2:12" s="1" customFormat="1" ht="13.35" customHeight="1" x14ac:dyDescent="0.2">
      <c r="B10" s="26"/>
      <c r="C10" s="90">
        <v>4011</v>
      </c>
      <c r="D10" s="338" t="s">
        <v>77</v>
      </c>
      <c r="E10" s="15">
        <v>51036</v>
      </c>
      <c r="F10" s="24">
        <v>307.38429100000002</v>
      </c>
      <c r="G10" s="15">
        <v>53386</v>
      </c>
      <c r="H10" s="24">
        <v>341.62398000000002</v>
      </c>
      <c r="I10" s="15">
        <v>52516</v>
      </c>
      <c r="J10" s="24">
        <v>406.76541700000001</v>
      </c>
      <c r="K10" s="15">
        <v>62690</v>
      </c>
      <c r="L10" s="24">
        <v>500.448285</v>
      </c>
    </row>
    <row r="11" spans="2:12" s="50" customFormat="1" ht="22.5" customHeight="1" x14ac:dyDescent="0.2">
      <c r="B11" s="26"/>
      <c r="C11" s="116">
        <v>4014</v>
      </c>
      <c r="D11" s="652" t="s">
        <v>171</v>
      </c>
      <c r="E11" s="15">
        <v>529449</v>
      </c>
      <c r="F11" s="24">
        <v>22053.858328999999</v>
      </c>
      <c r="G11" s="15">
        <v>491294</v>
      </c>
      <c r="H11" s="24">
        <v>21500.793835</v>
      </c>
      <c r="I11" s="15">
        <v>385789</v>
      </c>
      <c r="J11" s="24">
        <v>18309.285503999999</v>
      </c>
      <c r="K11" s="15">
        <v>361494</v>
      </c>
      <c r="L11" s="24">
        <v>17603.968130000001</v>
      </c>
    </row>
    <row r="12" spans="2:12" ht="13.35" customHeight="1" x14ac:dyDescent="0.2">
      <c r="B12" s="26"/>
      <c r="C12" s="90">
        <v>4015</v>
      </c>
      <c r="D12" s="338" t="s">
        <v>172</v>
      </c>
      <c r="E12" s="15">
        <v>37634</v>
      </c>
      <c r="F12" s="24">
        <v>1129.589172</v>
      </c>
      <c r="G12" s="15">
        <v>36375</v>
      </c>
      <c r="H12" s="24">
        <v>1079.3871389999999</v>
      </c>
      <c r="I12" s="15">
        <v>37711</v>
      </c>
      <c r="J12" s="24">
        <v>1177.082009</v>
      </c>
      <c r="K12" s="15">
        <v>34143</v>
      </c>
      <c r="L12" s="24">
        <v>1109.215332</v>
      </c>
    </row>
    <row r="13" spans="2:12" ht="13.35" customHeight="1" x14ac:dyDescent="0.2">
      <c r="B13" s="26"/>
      <c r="C13" s="90">
        <v>4016</v>
      </c>
      <c r="D13" s="338" t="s">
        <v>4</v>
      </c>
      <c r="E13" s="15">
        <v>130252</v>
      </c>
      <c r="F13" s="24">
        <v>5095.0410039999997</v>
      </c>
      <c r="G13" s="15">
        <v>114251</v>
      </c>
      <c r="H13" s="24">
        <v>4576.0364239999999</v>
      </c>
      <c r="I13" s="15">
        <v>46834</v>
      </c>
      <c r="J13" s="24">
        <v>2893.0673379999998</v>
      </c>
      <c r="K13" s="15">
        <v>45352</v>
      </c>
      <c r="L13" s="24">
        <v>2756.0518350000002</v>
      </c>
    </row>
    <row r="14" spans="2:12" ht="13.35" customHeight="1" x14ac:dyDescent="0.2">
      <c r="B14" s="26"/>
      <c r="C14" s="103">
        <v>4017</v>
      </c>
      <c r="D14" s="527" t="s">
        <v>140</v>
      </c>
      <c r="E14" s="15">
        <v>8079</v>
      </c>
      <c r="F14" s="24">
        <v>76.405288999999996</v>
      </c>
      <c r="G14" s="15">
        <v>7264</v>
      </c>
      <c r="H14" s="24">
        <v>70.430122999999995</v>
      </c>
      <c r="I14" s="15">
        <v>6653</v>
      </c>
      <c r="J14" s="24">
        <v>66.073087000000001</v>
      </c>
      <c r="K14" s="15">
        <v>6881</v>
      </c>
      <c r="L14" s="24">
        <v>78.428166000000004</v>
      </c>
    </row>
    <row r="15" spans="2:12" ht="13.35" customHeight="1" x14ac:dyDescent="0.2">
      <c r="B15" s="26"/>
      <c r="C15" s="103">
        <v>4018</v>
      </c>
      <c r="D15" s="312" t="s">
        <v>225</v>
      </c>
      <c r="E15" s="15">
        <v>89626</v>
      </c>
      <c r="F15" s="24">
        <v>475.28743400000002</v>
      </c>
      <c r="G15" s="15">
        <v>109731</v>
      </c>
      <c r="H15" s="24">
        <v>622.29224099999999</v>
      </c>
      <c r="I15" s="15">
        <v>128317</v>
      </c>
      <c r="J15" s="24">
        <v>774.01213600000005</v>
      </c>
      <c r="K15" s="15">
        <v>152121</v>
      </c>
      <c r="L15" s="24">
        <v>964.69175499999994</v>
      </c>
    </row>
    <row r="16" spans="2:12" ht="13.35" customHeight="1" x14ac:dyDescent="0.2">
      <c r="B16" s="26"/>
      <c r="C16" s="103">
        <v>4027</v>
      </c>
      <c r="D16" s="527" t="s">
        <v>174</v>
      </c>
      <c r="E16" s="15">
        <v>27442</v>
      </c>
      <c r="F16" s="24">
        <v>259.15314799999999</v>
      </c>
      <c r="G16" s="15">
        <v>24550</v>
      </c>
      <c r="H16" s="24">
        <v>239.373525</v>
      </c>
      <c r="I16" s="15">
        <v>21075</v>
      </c>
      <c r="J16" s="24">
        <v>226.76193799999999</v>
      </c>
      <c r="K16" s="15">
        <v>14824</v>
      </c>
      <c r="L16" s="24">
        <v>164.616533</v>
      </c>
    </row>
    <row r="17" spans="2:12" ht="13.35" customHeight="1" x14ac:dyDescent="0.2">
      <c r="B17" s="26"/>
      <c r="C17" s="103">
        <v>4028</v>
      </c>
      <c r="D17" s="527" t="s">
        <v>226</v>
      </c>
      <c r="E17" s="15">
        <v>28391</v>
      </c>
      <c r="F17" s="24">
        <v>463.59080799999998</v>
      </c>
      <c r="G17" s="15">
        <v>27814</v>
      </c>
      <c r="H17" s="24">
        <v>457.02183300000002</v>
      </c>
      <c r="I17" s="15">
        <v>33697</v>
      </c>
      <c r="J17" s="24">
        <v>683.04095600000005</v>
      </c>
      <c r="K17" s="15">
        <v>24475</v>
      </c>
      <c r="L17" s="24">
        <v>531.35340599999995</v>
      </c>
    </row>
    <row r="18" spans="2:12" ht="13.35" customHeight="1" x14ac:dyDescent="0.2">
      <c r="B18" s="525"/>
      <c r="C18" s="612"/>
      <c r="D18" s="653" t="s">
        <v>92</v>
      </c>
      <c r="E18" s="549">
        <f t="shared" ref="E18:L18" si="0">E51</f>
        <v>36712</v>
      </c>
      <c r="F18" s="550">
        <f t="shared" si="0"/>
        <v>1389.8617379999998</v>
      </c>
      <c r="G18" s="549">
        <f t="shared" si="0"/>
        <v>46684</v>
      </c>
      <c r="H18" s="550">
        <f t="shared" si="0"/>
        <v>1958.0661809999997</v>
      </c>
      <c r="I18" s="549">
        <f t="shared" si="0"/>
        <v>70553</v>
      </c>
      <c r="J18" s="550">
        <f t="shared" si="0"/>
        <v>2596.1210249999999</v>
      </c>
      <c r="K18" s="549">
        <f t="shared" si="0"/>
        <v>97221</v>
      </c>
      <c r="L18" s="550">
        <f t="shared" si="0"/>
        <v>4626.0709729999999</v>
      </c>
    </row>
    <row r="19" spans="2:12" ht="13.35" customHeight="1" x14ac:dyDescent="0.2">
      <c r="B19" s="525"/>
      <c r="C19" s="501" t="s">
        <v>8</v>
      </c>
      <c r="D19" s="529"/>
      <c r="E19" s="584"/>
      <c r="F19" s="346">
        <f>SUM(F4:F18)</f>
        <v>86463.988013000009</v>
      </c>
      <c r="G19" s="584"/>
      <c r="H19" s="346">
        <f>SUM(H4:H18)</f>
        <v>94096.209547000006</v>
      </c>
      <c r="I19" s="584"/>
      <c r="J19" s="346">
        <f>SUM(J4:J18)</f>
        <v>123988.49950999999</v>
      </c>
      <c r="K19" s="584"/>
      <c r="L19" s="346">
        <f>SUM(L4:L18)</f>
        <v>132739.07000400004</v>
      </c>
    </row>
    <row r="20" spans="2:12" ht="13.35" customHeight="1" x14ac:dyDescent="0.2">
      <c r="B20" s="26"/>
      <c r="C20" s="102" t="s">
        <v>87</v>
      </c>
      <c r="D20" s="313"/>
      <c r="E20" s="80"/>
      <c r="F20" s="101"/>
      <c r="G20" s="80"/>
      <c r="H20" s="101"/>
      <c r="I20" s="80"/>
      <c r="J20" s="101"/>
      <c r="K20" s="80"/>
      <c r="L20" s="101"/>
    </row>
    <row r="21" spans="2:12" ht="13.35" customHeight="1" x14ac:dyDescent="0.2">
      <c r="B21" s="48"/>
      <c r="C21" s="90">
        <v>4001</v>
      </c>
      <c r="D21" s="338" t="s">
        <v>75</v>
      </c>
      <c r="E21" s="551"/>
      <c r="F21" s="552">
        <f>A2.7.1!F4/A2.7.1!F$19</f>
        <v>0.23444410413908071</v>
      </c>
      <c r="G21" s="551"/>
      <c r="H21" s="552">
        <f>A2.7.1!H4/A2.7.1!H$19</f>
        <v>0.24856772928050108</v>
      </c>
      <c r="I21" s="551"/>
      <c r="J21" s="552">
        <f>A2.7.1!J4/A2.7.1!J$19</f>
        <v>0.20952846244344395</v>
      </c>
      <c r="K21" s="551"/>
      <c r="L21" s="552">
        <f>A2.7.1!L4/A2.7.1!L$19</f>
        <v>0.21003898565930768</v>
      </c>
    </row>
    <row r="22" spans="2:12" ht="13.35" customHeight="1" x14ac:dyDescent="0.2">
      <c r="B22" s="48"/>
      <c r="C22" s="90">
        <v>4002</v>
      </c>
      <c r="D22" s="338" t="s">
        <v>453</v>
      </c>
      <c r="E22" s="551"/>
      <c r="F22" s="552">
        <f>A2.7.1!F5/A2.7.1!F$19</f>
        <v>7.5930099349718965E-4</v>
      </c>
      <c r="G22" s="551"/>
      <c r="H22" s="552">
        <f>A2.7.1!H5/A2.7.1!H$19</f>
        <v>7.351582102300046E-4</v>
      </c>
      <c r="I22" s="551"/>
      <c r="J22" s="552">
        <f>A2.7.1!J5/A2.7.1!J$19</f>
        <v>6.1048949135718115E-4</v>
      </c>
      <c r="K22" s="551"/>
      <c r="L22" s="552">
        <f>A2.7.1!L5/A2.7.1!L$19</f>
        <v>5.7899289936025626E-4</v>
      </c>
    </row>
    <row r="23" spans="2:12" ht="13.35" customHeight="1" x14ac:dyDescent="0.2">
      <c r="B23" s="48"/>
      <c r="C23" s="90">
        <v>4006</v>
      </c>
      <c r="D23" s="338" t="s">
        <v>574</v>
      </c>
      <c r="E23" s="551"/>
      <c r="F23" s="552">
        <f>A2.7.1!F6/A2.7.1!F$19</f>
        <v>0.12089199744555389</v>
      </c>
      <c r="G23" s="551"/>
      <c r="H23" s="552">
        <f>A2.7.1!H6/A2.7.1!H$19</f>
        <v>0.11904681617812456</v>
      </c>
      <c r="I23" s="551"/>
      <c r="J23" s="552">
        <f>A2.7.1!J6/A2.7.1!J$19</f>
        <v>0.1029767624453769</v>
      </c>
      <c r="K23" s="551"/>
      <c r="L23" s="552">
        <f>A2.7.1!L6/A2.7.1!L$19</f>
        <v>0.10305849415388975</v>
      </c>
    </row>
    <row r="24" spans="2:12" ht="13.35" customHeight="1" x14ac:dyDescent="0.2">
      <c r="B24" s="48"/>
      <c r="C24" s="90">
        <v>4007</v>
      </c>
      <c r="D24" s="338" t="s">
        <v>575</v>
      </c>
      <c r="E24" s="551"/>
      <c r="F24" s="552">
        <f>A2.7.1!F7/A2.7.1!F$19</f>
        <v>3.3262349633555988E-4</v>
      </c>
      <c r="G24" s="551"/>
      <c r="H24" s="552">
        <f>A2.7.1!H7/A2.7.1!H$19</f>
        <v>3.5037637710084703E-4</v>
      </c>
      <c r="I24" s="551"/>
      <c r="J24" s="552">
        <f>A2.7.1!J7/A2.7.1!J$19</f>
        <v>2.9005629668983483E-4</v>
      </c>
      <c r="K24" s="551"/>
      <c r="L24" s="552">
        <f>A2.7.1!L7/A2.7.1!L$19</f>
        <v>2.679773860019366E-4</v>
      </c>
    </row>
    <row r="25" spans="2:12" ht="13.35" customHeight="1" x14ac:dyDescent="0.2">
      <c r="B25" s="48"/>
      <c r="C25" s="90">
        <v>4008</v>
      </c>
      <c r="D25" s="338" t="s">
        <v>76</v>
      </c>
      <c r="E25" s="551"/>
      <c r="F25" s="552">
        <f>A2.7.1!F8/A2.7.1!F$19</f>
        <v>0.26909554219846715</v>
      </c>
      <c r="G25" s="551"/>
      <c r="H25" s="552">
        <f>A2.7.1!H8/A2.7.1!H$19</f>
        <v>0.29072120048933642</v>
      </c>
      <c r="I25" s="551"/>
      <c r="J25" s="552">
        <f>A2.7.1!J8/A2.7.1!J$19</f>
        <v>0.45465262872588819</v>
      </c>
      <c r="K25" s="551"/>
      <c r="L25" s="552">
        <f>A2.7.1!L8/A2.7.1!L$19</f>
        <v>0.45660295115954613</v>
      </c>
    </row>
    <row r="26" spans="2:12" ht="13.35" customHeight="1" x14ac:dyDescent="0.2">
      <c r="B26" s="26"/>
      <c r="C26" s="90">
        <v>4009</v>
      </c>
      <c r="D26" s="338" t="s">
        <v>141</v>
      </c>
      <c r="E26" s="551"/>
      <c r="F26" s="552">
        <f>A2.7.1!F9/A2.7.1!F$19</f>
        <v>1.3052306710977984E-2</v>
      </c>
      <c r="G26" s="551"/>
      <c r="H26" s="552">
        <f>A2.7.1!H9/A2.7.1!H$19</f>
        <v>1.2775660983448477E-2</v>
      </c>
      <c r="I26" s="551"/>
      <c r="J26" s="552">
        <f>A2.7.1!J9/A2.7.1!J$19</f>
        <v>1.3113164756614129E-2</v>
      </c>
      <c r="K26" s="551"/>
      <c r="L26" s="552">
        <f>A2.7.1!L9/A2.7.1!L$19</f>
        <v>1.5989867579575781E-2</v>
      </c>
    </row>
    <row r="27" spans="2:12" ht="13.35" customHeight="1" x14ac:dyDescent="0.2">
      <c r="B27" s="26"/>
      <c r="C27" s="90">
        <v>4011</v>
      </c>
      <c r="D27" s="338" t="s">
        <v>77</v>
      </c>
      <c r="E27" s="551"/>
      <c r="F27" s="552">
        <f>A2.7.1!F10/A2.7.1!F$19</f>
        <v>3.5550556718917971E-3</v>
      </c>
      <c r="G27" s="551"/>
      <c r="H27" s="552">
        <f>A2.7.1!H10/A2.7.1!H$19</f>
        <v>3.6305817380386895E-3</v>
      </c>
      <c r="I27" s="551"/>
      <c r="J27" s="552">
        <f>A2.7.1!J10/A2.7.1!J$19</f>
        <v>3.2806705348280576E-3</v>
      </c>
      <c r="K27" s="551"/>
      <c r="L27" s="552">
        <f>A2.7.1!L10/A2.7.1!L$19</f>
        <v>3.7701656715307648E-3</v>
      </c>
    </row>
    <row r="28" spans="2:12" s="50" customFormat="1" ht="22.5" customHeight="1" x14ac:dyDescent="0.2">
      <c r="B28" s="26"/>
      <c r="C28" s="116">
        <v>4014</v>
      </c>
      <c r="D28" s="652" t="s">
        <v>171</v>
      </c>
      <c r="E28" s="551"/>
      <c r="F28" s="552">
        <f>A2.7.1!F11/A2.7.1!F$19</f>
        <v>0.25506408894399091</v>
      </c>
      <c r="G28" s="551"/>
      <c r="H28" s="552">
        <f>A2.7.1!H11/A2.7.1!H$19</f>
        <v>0.22849798029601387</v>
      </c>
      <c r="I28" s="551"/>
      <c r="J28" s="552">
        <f>A2.7.1!J11/A2.7.1!J$19</f>
        <v>0.14766922397123863</v>
      </c>
      <c r="K28" s="551"/>
      <c r="L28" s="552">
        <f>A2.7.1!L11/A2.7.1!L$19</f>
        <v>0.13262084877850594</v>
      </c>
    </row>
    <row r="29" spans="2:12" ht="13.35" customHeight="1" x14ac:dyDescent="0.2">
      <c r="B29" s="26"/>
      <c r="C29" s="90">
        <v>4015</v>
      </c>
      <c r="D29" s="338" t="s">
        <v>172</v>
      </c>
      <c r="E29" s="551"/>
      <c r="F29" s="552">
        <f>A2.7.1!F12/A2.7.1!F$19</f>
        <v>1.3064273323018183E-2</v>
      </c>
      <c r="G29" s="551"/>
      <c r="H29" s="552">
        <f>A2.7.1!H12/A2.7.1!H$19</f>
        <v>1.1471101165460422E-2</v>
      </c>
      <c r="I29" s="551"/>
      <c r="J29" s="552">
        <f>A2.7.1!J12/A2.7.1!J$19</f>
        <v>9.493477327750589E-3</v>
      </c>
      <c r="K29" s="551"/>
      <c r="L29" s="552">
        <f>A2.7.1!L12/A2.7.1!L$19</f>
        <v>8.3563590732297147E-3</v>
      </c>
    </row>
    <row r="30" spans="2:12" ht="13.35" customHeight="1" x14ac:dyDescent="0.2">
      <c r="B30" s="26"/>
      <c r="C30" s="90">
        <v>4016</v>
      </c>
      <c r="D30" s="338" t="s">
        <v>4</v>
      </c>
      <c r="E30" s="551"/>
      <c r="F30" s="552">
        <f>A2.7.1!F13/A2.7.1!F$19</f>
        <v>5.8926740728567267E-2</v>
      </c>
      <c r="G30" s="551"/>
      <c r="H30" s="552">
        <f>A2.7.1!H13/A2.7.1!H$19</f>
        <v>4.8631463966827708E-2</v>
      </c>
      <c r="I30" s="551"/>
      <c r="J30" s="552">
        <f>A2.7.1!J13/A2.7.1!J$19</f>
        <v>2.3333352282133766E-2</v>
      </c>
      <c r="K30" s="551"/>
      <c r="L30" s="552">
        <f>A2.7.1!L13/A2.7.1!L$19</f>
        <v>2.0762928615643817E-2</v>
      </c>
    </row>
    <row r="31" spans="2:12" ht="13.35" customHeight="1" x14ac:dyDescent="0.2">
      <c r="B31" s="26"/>
      <c r="C31" s="103">
        <v>4017</v>
      </c>
      <c r="D31" s="312" t="s">
        <v>140</v>
      </c>
      <c r="E31" s="551"/>
      <c r="F31" s="552">
        <f>A2.7.1!F14/A2.7.1!F$19</f>
        <v>8.8366602970605898E-4</v>
      </c>
      <c r="G31" s="551"/>
      <c r="H31" s="552">
        <f>A2.7.1!H14/A2.7.1!H$19</f>
        <v>7.4849054323299742E-4</v>
      </c>
      <c r="I31" s="551"/>
      <c r="J31" s="552">
        <f>A2.7.1!J14/A2.7.1!J$19</f>
        <v>5.3289689980215492E-4</v>
      </c>
      <c r="K31" s="551"/>
      <c r="L31" s="552">
        <f>A2.7.1!L14/A2.7.1!L$19</f>
        <v>5.9084462470346223E-4</v>
      </c>
    </row>
    <row r="32" spans="2:12" ht="13.35" customHeight="1" x14ac:dyDescent="0.2">
      <c r="B32" s="26"/>
      <c r="C32" s="103">
        <v>4018</v>
      </c>
      <c r="D32" s="312" t="s">
        <v>225</v>
      </c>
      <c r="E32" s="551"/>
      <c r="F32" s="552">
        <f>A2.7.1!F15/A2.7.1!F$19</f>
        <v>5.4969409221390497E-3</v>
      </c>
      <c r="G32" s="551"/>
      <c r="H32" s="552">
        <f>A2.7.1!H15/A2.7.1!H$19</f>
        <v>6.6133614095174788E-3</v>
      </c>
      <c r="I32" s="551"/>
      <c r="J32" s="552">
        <f>A2.7.1!J15/A2.7.1!J$19</f>
        <v>6.2426123314571931E-3</v>
      </c>
      <c r="K32" s="551"/>
      <c r="L32" s="552">
        <f>A2.7.1!L15/A2.7.1!L$19</f>
        <v>7.2675795827929889E-3</v>
      </c>
    </row>
    <row r="33" spans="2:12" ht="13.35" customHeight="1" x14ac:dyDescent="0.2">
      <c r="B33" s="26"/>
      <c r="C33" s="103">
        <v>4027</v>
      </c>
      <c r="D33" s="527" t="s">
        <v>174</v>
      </c>
      <c r="E33" s="551"/>
      <c r="F33" s="552">
        <f>A2.7.1!F16/A2.7.1!F$19</f>
        <v>2.9972379710387158E-3</v>
      </c>
      <c r="G33" s="551"/>
      <c r="H33" s="552">
        <f>A2.7.1!H16/A2.7.1!H$19</f>
        <v>2.5439231415632698E-3</v>
      </c>
      <c r="I33" s="551"/>
      <c r="J33" s="552">
        <f>A2.7.1!J16/A2.7.1!J$19</f>
        <v>1.8288949289342036E-3</v>
      </c>
      <c r="K33" s="551"/>
      <c r="L33" s="552">
        <f>A2.7.1!L16/A2.7.1!L$19</f>
        <v>1.2401513208962467E-3</v>
      </c>
    </row>
    <row r="34" spans="2:12" ht="13.35" customHeight="1" x14ac:dyDescent="0.2">
      <c r="B34" s="26"/>
      <c r="C34" s="103">
        <v>4028</v>
      </c>
      <c r="D34" s="527" t="s">
        <v>226</v>
      </c>
      <c r="E34" s="551"/>
      <c r="F34" s="552">
        <f>A2.7.1!F17/A2.7.1!F$19</f>
        <v>5.3616634931330986E-3</v>
      </c>
      <c r="G34" s="551"/>
      <c r="H34" s="552">
        <f>A2.7.1!H17/A2.7.1!H$19</f>
        <v>4.8569632634534836E-3</v>
      </c>
      <c r="I34" s="551"/>
      <c r="J34" s="552">
        <f>A2.7.1!J17/A2.7.1!J$19</f>
        <v>5.5089057348009203E-3</v>
      </c>
      <c r="K34" s="551"/>
      <c r="L34" s="552">
        <f>A2.7.1!L17/A2.7.1!L$19</f>
        <v>4.0029917791648524E-3</v>
      </c>
    </row>
    <row r="35" spans="2:12" ht="13.35" customHeight="1" x14ac:dyDescent="0.2">
      <c r="B35" s="525"/>
      <c r="C35" s="612"/>
      <c r="D35" s="653" t="s">
        <v>92</v>
      </c>
      <c r="E35" s="553"/>
      <c r="F35" s="554">
        <f>A2.7.1!F18/A2.7.1!F$19</f>
        <v>1.6074457932602319E-2</v>
      </c>
      <c r="G35" s="553"/>
      <c r="H35" s="554">
        <f>A2.7.1!H18/A2.7.1!H$19</f>
        <v>2.0809192957150602E-2</v>
      </c>
      <c r="I35" s="553"/>
      <c r="J35" s="554">
        <f>A2.7.1!J18/A2.7.1!J$19</f>
        <v>2.0938401829684341E-2</v>
      </c>
      <c r="K35" s="553"/>
      <c r="L35" s="554">
        <f>A2.7.1!L18/A2.7.1!L$19</f>
        <v>3.4850861715850466E-2</v>
      </c>
    </row>
    <row r="36" spans="2:12" ht="13.35" customHeight="1" x14ac:dyDescent="0.2">
      <c r="B36" s="525"/>
      <c r="C36" s="501" t="s">
        <v>8</v>
      </c>
      <c r="D36" s="529"/>
      <c r="E36" s="555"/>
      <c r="F36" s="556">
        <f>SUM(F21:F35)</f>
        <v>0.99999999999999989</v>
      </c>
      <c r="G36" s="555"/>
      <c r="H36" s="556">
        <f>SUM(H21:H35)</f>
        <v>1</v>
      </c>
      <c r="I36" s="555"/>
      <c r="J36" s="556">
        <f>SUM(J21:J35)</f>
        <v>1.0000000000000002</v>
      </c>
      <c r="K36" s="555"/>
      <c r="L36" s="556">
        <f>SUM(L21:L35)</f>
        <v>0.99999999999999978</v>
      </c>
    </row>
    <row r="37" spans="2:12" ht="12" customHeight="1" x14ac:dyDescent="0.2">
      <c r="C37" s="29" t="s">
        <v>454</v>
      </c>
      <c r="D37"/>
      <c r="E37"/>
      <c r="F37"/>
      <c r="G37"/>
      <c r="H37"/>
      <c r="I37" s="1"/>
      <c r="J37"/>
      <c r="K37"/>
      <c r="L37"/>
    </row>
    <row r="38" spans="2:12" ht="13.35" customHeight="1" x14ac:dyDescent="0.2">
      <c r="C38"/>
      <c r="D38"/>
      <c r="E38"/>
      <c r="F38"/>
      <c r="G38"/>
      <c r="H38"/>
      <c r="I38" s="1"/>
      <c r="J38"/>
      <c r="K38"/>
      <c r="L38"/>
    </row>
    <row r="39" spans="2:12" ht="13.35" customHeight="1" x14ac:dyDescent="0.2">
      <c r="C39"/>
      <c r="D39"/>
      <c r="E39"/>
      <c r="F39"/>
      <c r="G39" s="352" t="s">
        <v>371</v>
      </c>
      <c r="H39"/>
      <c r="I39" s="1"/>
      <c r="J39"/>
      <c r="K39"/>
      <c r="L39"/>
    </row>
    <row r="40" spans="2:12" ht="13.35" customHeight="1" x14ac:dyDescent="0.2">
      <c r="C40"/>
      <c r="D40"/>
      <c r="E40"/>
      <c r="F40"/>
      <c r="G40"/>
      <c r="H40"/>
      <c r="I40" s="1"/>
      <c r="J40"/>
      <c r="K40"/>
      <c r="L40"/>
    </row>
    <row r="41" spans="2:12" ht="13.35" customHeight="1" x14ac:dyDescent="0.2">
      <c r="C41"/>
      <c r="D41"/>
      <c r="E41"/>
      <c r="F41"/>
      <c r="G41"/>
      <c r="H41"/>
      <c r="I41" s="1"/>
      <c r="J41"/>
      <c r="K41"/>
      <c r="L41"/>
    </row>
    <row r="42" spans="2:12" ht="13.35" hidden="1" customHeight="1" x14ac:dyDescent="0.2">
      <c r="C42"/>
      <c r="D42" s="120" t="s">
        <v>167</v>
      </c>
      <c r="E42" s="121">
        <f t="shared" ref="E42:L42" si="1">SUM(E4:E7)</f>
        <v>3264830</v>
      </c>
      <c r="F42" s="121">
        <f t="shared" si="1"/>
        <v>30818.188574</v>
      </c>
      <c r="G42" s="122">
        <f t="shared" si="1"/>
        <v>3412131</v>
      </c>
      <c r="H42" s="122">
        <f t="shared" si="1"/>
        <v>34693.279991999996</v>
      </c>
      <c r="I42" s="122">
        <f t="shared" si="1"/>
        <v>3520438</v>
      </c>
      <c r="J42" s="122">
        <f t="shared" si="1"/>
        <v>38858.711244000006</v>
      </c>
      <c r="K42" s="122">
        <f t="shared" si="1"/>
        <v>3560193</v>
      </c>
      <c r="L42" s="123">
        <f t="shared" si="1"/>
        <v>41672.694338999994</v>
      </c>
    </row>
    <row r="43" spans="2:12" ht="13.35" hidden="1" customHeight="1" x14ac:dyDescent="0.2">
      <c r="C43"/>
      <c r="D43" s="124"/>
      <c r="E43" s="125"/>
      <c r="F43" s="125">
        <f>SUM(F21:F24)</f>
        <v>0.35642802607446733</v>
      </c>
      <c r="G43" s="125"/>
      <c r="H43" s="125">
        <f>SUM(H21:H24)</f>
        <v>0.3687000800459565</v>
      </c>
      <c r="I43" s="125"/>
      <c r="J43" s="125">
        <f>SUM(J21:J24)</f>
        <v>0.31340577067686787</v>
      </c>
      <c r="K43" s="125"/>
      <c r="L43" s="126">
        <f>SUM(L21:L24)</f>
        <v>0.31394445009855959</v>
      </c>
    </row>
    <row r="44" spans="2:12" ht="13.35" hidden="1" customHeight="1" x14ac:dyDescent="0.2">
      <c r="C44"/>
      <c r="D44"/>
      <c r="E44"/>
      <c r="F44"/>
      <c r="G44"/>
      <c r="H44"/>
      <c r="I44" s="1"/>
      <c r="J44"/>
      <c r="K44"/>
      <c r="L44"/>
    </row>
    <row r="45" spans="2:12" ht="13.35" hidden="1" customHeight="1" x14ac:dyDescent="0.2">
      <c r="C45"/>
      <c r="D45" s="120" t="s">
        <v>175</v>
      </c>
      <c r="E45" s="127">
        <f>AVERAGE(F21,H21,J21,L21)</f>
        <v>0.22564482038058334</v>
      </c>
      <c r="F45"/>
      <c r="G45"/>
      <c r="H45"/>
      <c r="I45" s="1"/>
      <c r="J45"/>
      <c r="K45"/>
      <c r="L45"/>
    </row>
    <row r="46" spans="2:12" ht="13.35" hidden="1" customHeight="1" x14ac:dyDescent="0.2">
      <c r="C46"/>
      <c r="D46" s="128" t="s">
        <v>176</v>
      </c>
      <c r="E46" s="129">
        <f>AVERAGE(F25,H25,J25,L25)</f>
        <v>0.36776808064330951</v>
      </c>
      <c r="F46"/>
      <c r="G46"/>
      <c r="H46"/>
      <c r="I46" s="1"/>
      <c r="J46"/>
      <c r="K46"/>
      <c r="L46"/>
    </row>
    <row r="47" spans="2:12" s="21" customFormat="1" ht="13.35" hidden="1" customHeight="1" x14ac:dyDescent="0.2">
      <c r="B47" s="3"/>
      <c r="C47" s="17"/>
      <c r="D47" s="130" t="s">
        <v>177</v>
      </c>
      <c r="E47" s="129">
        <f>AVERAGE(F23,H23,J23,L23)</f>
        <v>0.11149351755573626</v>
      </c>
      <c r="F47"/>
      <c r="G47" s="22"/>
      <c r="H47" s="22"/>
      <c r="I47" s="22"/>
      <c r="J47" s="22"/>
      <c r="K47" s="22"/>
      <c r="L47" s="22"/>
    </row>
    <row r="48" spans="2:12" customFormat="1" ht="13.35" hidden="1" customHeight="1" x14ac:dyDescent="0.2">
      <c r="C48" s="2"/>
      <c r="D48" s="124" t="s">
        <v>178</v>
      </c>
      <c r="E48" s="126">
        <f>AVERAGE(F28,H28,J28,L28)</f>
        <v>0.19096303549743732</v>
      </c>
      <c r="I48" s="1"/>
    </row>
    <row r="49" spans="3:12" customFormat="1" ht="13.35" hidden="1" customHeight="1" x14ac:dyDescent="0.2">
      <c r="C49" s="2"/>
      <c r="I49" s="1"/>
    </row>
    <row r="50" spans="3:12" customFormat="1" ht="13.35" hidden="1" customHeight="1" x14ac:dyDescent="0.2">
      <c r="C50" s="2"/>
      <c r="I50" s="1"/>
    </row>
    <row r="51" spans="3:12" customFormat="1" ht="13.35" hidden="1" customHeight="1" x14ac:dyDescent="0.2">
      <c r="C51" s="2"/>
      <c r="D51" s="738" t="s">
        <v>4</v>
      </c>
      <c r="E51" s="739">
        <f t="shared" ref="E51:L51" si="2">SUM(E52:E68)</f>
        <v>36712</v>
      </c>
      <c r="F51" s="739">
        <f t="shared" si="2"/>
        <v>1389.8617379999998</v>
      </c>
      <c r="G51" s="740">
        <f t="shared" si="2"/>
        <v>46684</v>
      </c>
      <c r="H51" s="740">
        <f t="shared" si="2"/>
        <v>1958.0661809999997</v>
      </c>
      <c r="I51" s="740">
        <f t="shared" si="2"/>
        <v>70553</v>
      </c>
      <c r="J51" s="740">
        <f t="shared" si="2"/>
        <v>2596.1210249999999</v>
      </c>
      <c r="K51" s="740">
        <f t="shared" si="2"/>
        <v>97221</v>
      </c>
      <c r="L51" s="741">
        <f t="shared" si="2"/>
        <v>4626.0709729999999</v>
      </c>
    </row>
    <row r="52" spans="3:12" customFormat="1" ht="13.35" hidden="1" customHeight="1" x14ac:dyDescent="0.2">
      <c r="C52" s="2"/>
      <c r="D52" s="171" t="s">
        <v>452</v>
      </c>
      <c r="E52" s="205">
        <v>96</v>
      </c>
      <c r="F52" s="205">
        <v>0.30086400000000002</v>
      </c>
      <c r="G52" s="166">
        <v>80</v>
      </c>
      <c r="H52" s="166">
        <v>0.240033</v>
      </c>
      <c r="I52" s="166">
        <v>81</v>
      </c>
      <c r="J52" s="166">
        <v>0.30964199999999997</v>
      </c>
      <c r="K52" s="166">
        <v>25</v>
      </c>
      <c r="L52" s="167">
        <v>0.103047</v>
      </c>
    </row>
    <row r="53" spans="3:12" customFormat="1" ht="13.35" hidden="1" customHeight="1" x14ac:dyDescent="0.2">
      <c r="C53" s="2"/>
      <c r="D53" s="171" t="s">
        <v>216</v>
      </c>
      <c r="E53" s="205">
        <v>0</v>
      </c>
      <c r="F53" s="205">
        <v>0</v>
      </c>
      <c r="G53" s="166">
        <v>1</v>
      </c>
      <c r="H53" s="166">
        <v>7.4999999999999993E-5</v>
      </c>
      <c r="I53" s="166">
        <v>0</v>
      </c>
      <c r="J53" s="166">
        <v>0</v>
      </c>
      <c r="K53" s="166">
        <v>0</v>
      </c>
      <c r="L53" s="167">
        <v>0</v>
      </c>
    </row>
    <row r="54" spans="3:12" customFormat="1" ht="13.35" hidden="1" customHeight="1" x14ac:dyDescent="0.2">
      <c r="C54" s="2"/>
      <c r="D54" s="171" t="s">
        <v>217</v>
      </c>
      <c r="E54" s="205">
        <v>0</v>
      </c>
      <c r="F54" s="205">
        <v>0</v>
      </c>
      <c r="G54" s="166">
        <v>0</v>
      </c>
      <c r="H54" s="166">
        <v>0</v>
      </c>
      <c r="I54" s="166">
        <v>0</v>
      </c>
      <c r="J54" s="166">
        <v>0</v>
      </c>
      <c r="K54" s="166">
        <v>0</v>
      </c>
      <c r="L54" s="167">
        <v>0</v>
      </c>
    </row>
    <row r="55" spans="3:12" customFormat="1" ht="13.35" hidden="1" customHeight="1" x14ac:dyDescent="0.2">
      <c r="C55" s="2"/>
      <c r="D55" s="171" t="s">
        <v>218</v>
      </c>
      <c r="E55" s="205">
        <v>4</v>
      </c>
      <c r="F55" s="205">
        <v>2.1524999999999999E-2</v>
      </c>
      <c r="G55" s="166">
        <v>0</v>
      </c>
      <c r="H55" s="166">
        <v>0</v>
      </c>
      <c r="I55" s="166">
        <v>0</v>
      </c>
      <c r="J55" s="166">
        <v>0</v>
      </c>
      <c r="K55" s="166">
        <v>0</v>
      </c>
      <c r="L55" s="167">
        <v>0</v>
      </c>
    </row>
    <row r="56" spans="3:12" customFormat="1" ht="13.35" hidden="1" customHeight="1" x14ac:dyDescent="0.2">
      <c r="C56" s="2"/>
      <c r="D56" s="171" t="s">
        <v>432</v>
      </c>
      <c r="E56" s="205">
        <v>713</v>
      </c>
      <c r="F56" s="205">
        <v>25.207719000000001</v>
      </c>
      <c r="G56" s="166">
        <v>845</v>
      </c>
      <c r="H56" s="166">
        <v>32.414585000000002</v>
      </c>
      <c r="I56" s="166">
        <v>901</v>
      </c>
      <c r="J56" s="166">
        <v>30.444165000000002</v>
      </c>
      <c r="K56" s="166">
        <v>1063</v>
      </c>
      <c r="L56" s="167">
        <v>34.300209000000002</v>
      </c>
    </row>
    <row r="57" spans="3:12" customFormat="1" ht="13.35" hidden="1" customHeight="1" x14ac:dyDescent="0.2">
      <c r="C57" s="2"/>
      <c r="D57" s="171" t="s">
        <v>219</v>
      </c>
      <c r="E57" s="205">
        <v>48</v>
      </c>
      <c r="F57" s="205">
        <v>0.66341099999999997</v>
      </c>
      <c r="G57" s="166">
        <v>31</v>
      </c>
      <c r="H57" s="166">
        <v>0.27774599999999999</v>
      </c>
      <c r="I57" s="166">
        <v>52</v>
      </c>
      <c r="J57" s="166">
        <v>0.42169099999999998</v>
      </c>
      <c r="K57" s="166">
        <v>38</v>
      </c>
      <c r="L57" s="167">
        <v>0.23392499999999999</v>
      </c>
    </row>
    <row r="58" spans="3:12" customFormat="1" ht="13.35" hidden="1" customHeight="1" x14ac:dyDescent="0.2">
      <c r="C58" s="2"/>
      <c r="D58" s="171" t="s">
        <v>274</v>
      </c>
      <c r="E58" s="205">
        <v>11674</v>
      </c>
      <c r="F58" s="205">
        <v>540.150847</v>
      </c>
      <c r="G58" s="166">
        <v>16656</v>
      </c>
      <c r="H58" s="166">
        <v>785.48991899999999</v>
      </c>
      <c r="I58" s="166">
        <v>21935</v>
      </c>
      <c r="J58" s="166">
        <v>1001.818798</v>
      </c>
      <c r="K58" s="166">
        <v>28701</v>
      </c>
      <c r="L58" s="167">
        <v>1321.104597</v>
      </c>
    </row>
    <row r="59" spans="3:12" customFormat="1" ht="13.35" hidden="1" customHeight="1" x14ac:dyDescent="0.2">
      <c r="C59" s="2"/>
      <c r="D59" s="171" t="s">
        <v>220</v>
      </c>
      <c r="E59" s="205">
        <v>2962</v>
      </c>
      <c r="F59" s="205">
        <v>611.357168</v>
      </c>
      <c r="G59" s="166">
        <v>3020</v>
      </c>
      <c r="H59" s="166">
        <v>831.92261699999995</v>
      </c>
      <c r="I59" s="166">
        <v>1701</v>
      </c>
      <c r="J59" s="166">
        <v>798.85391600000003</v>
      </c>
      <c r="K59" s="166">
        <v>2301</v>
      </c>
      <c r="L59" s="167">
        <v>1104.581819</v>
      </c>
    </row>
    <row r="60" spans="3:12" customFormat="1" ht="13.35" hidden="1" customHeight="1" x14ac:dyDescent="0.2">
      <c r="C60" s="2"/>
      <c r="D60" s="171" t="s">
        <v>221</v>
      </c>
      <c r="E60" s="205">
        <v>3348</v>
      </c>
      <c r="F60" s="205">
        <v>133.03489200000001</v>
      </c>
      <c r="G60" s="166">
        <v>5470</v>
      </c>
      <c r="H60" s="166">
        <v>189.08027999999999</v>
      </c>
      <c r="I60" s="166">
        <v>7923</v>
      </c>
      <c r="J60" s="166">
        <v>261.98131000000001</v>
      </c>
      <c r="K60" s="166">
        <v>8660</v>
      </c>
      <c r="L60" s="167">
        <v>281.99462499999998</v>
      </c>
    </row>
    <row r="61" spans="3:12" customFormat="1" ht="13.35" hidden="1" customHeight="1" x14ac:dyDescent="0.2">
      <c r="C61" s="2"/>
      <c r="D61" s="171" t="s">
        <v>222</v>
      </c>
      <c r="E61" s="205">
        <v>16563</v>
      </c>
      <c r="F61" s="205">
        <v>40.270809999999997</v>
      </c>
      <c r="G61" s="166">
        <v>18234</v>
      </c>
      <c r="H61" s="166">
        <v>46.128459999999997</v>
      </c>
      <c r="I61" s="166">
        <v>22184</v>
      </c>
      <c r="J61" s="166">
        <v>68.023189000000002</v>
      </c>
      <c r="K61" s="166">
        <v>18977</v>
      </c>
      <c r="L61" s="167">
        <v>60.983770999999997</v>
      </c>
    </row>
    <row r="62" spans="3:12" customFormat="1" ht="13.35" hidden="1" customHeight="1" x14ac:dyDescent="0.2">
      <c r="C62" s="2"/>
      <c r="D62" s="171" t="s">
        <v>275</v>
      </c>
      <c r="E62" s="205">
        <v>30</v>
      </c>
      <c r="F62" s="205">
        <v>1.2160599999999999</v>
      </c>
      <c r="G62" s="166">
        <v>34</v>
      </c>
      <c r="H62" s="166">
        <v>1.995981</v>
      </c>
      <c r="I62" s="166">
        <v>848</v>
      </c>
      <c r="J62" s="166">
        <v>16.460798</v>
      </c>
      <c r="K62" s="166">
        <v>1060</v>
      </c>
      <c r="L62" s="167">
        <v>18.346117</v>
      </c>
    </row>
    <row r="63" spans="3:12" customFormat="1" ht="13.35" hidden="1" customHeight="1" x14ac:dyDescent="0.2">
      <c r="C63" s="2"/>
      <c r="D63" s="171" t="s">
        <v>276</v>
      </c>
      <c r="E63" s="205">
        <v>34</v>
      </c>
      <c r="F63" s="205">
        <v>0.255629</v>
      </c>
      <c r="G63" s="166">
        <v>76</v>
      </c>
      <c r="H63" s="166">
        <v>1.205943</v>
      </c>
      <c r="I63" s="166">
        <v>445</v>
      </c>
      <c r="J63" s="166">
        <v>7.9726419999999996</v>
      </c>
      <c r="K63" s="166">
        <v>651</v>
      </c>
      <c r="L63" s="167">
        <v>17.806574000000001</v>
      </c>
    </row>
    <row r="64" spans="3:12" customFormat="1" ht="13.35" hidden="1" customHeight="1" x14ac:dyDescent="0.2">
      <c r="C64" s="2"/>
      <c r="D64" s="171" t="s">
        <v>277</v>
      </c>
      <c r="E64" s="205">
        <v>658</v>
      </c>
      <c r="F64" s="205">
        <v>15.728770000000001</v>
      </c>
      <c r="G64" s="166">
        <v>1341</v>
      </c>
      <c r="H64" s="166">
        <v>36.626610999999997</v>
      </c>
      <c r="I64" s="166">
        <v>11909</v>
      </c>
      <c r="J64" s="166">
        <v>308.30242500000003</v>
      </c>
      <c r="K64" s="166">
        <v>220</v>
      </c>
      <c r="L64" s="167">
        <v>10.929732</v>
      </c>
    </row>
    <row r="65" spans="3:12" customFormat="1" ht="13.35" hidden="1" customHeight="1" x14ac:dyDescent="0.2">
      <c r="C65" s="2"/>
      <c r="D65" s="171" t="s">
        <v>278</v>
      </c>
      <c r="E65" s="205">
        <v>577</v>
      </c>
      <c r="F65" s="205">
        <v>21.713930000000001</v>
      </c>
      <c r="G65" s="166">
        <v>896</v>
      </c>
      <c r="H65" s="166">
        <v>32.683931000000001</v>
      </c>
      <c r="I65" s="166">
        <v>2574</v>
      </c>
      <c r="J65" s="166">
        <v>101.532449</v>
      </c>
      <c r="K65" s="166">
        <v>3150</v>
      </c>
      <c r="L65" s="167">
        <v>113.616516</v>
      </c>
    </row>
    <row r="66" spans="3:12" customFormat="1" ht="13.35" hidden="1" customHeight="1" x14ac:dyDescent="0.2">
      <c r="C66" s="2"/>
      <c r="D66" s="171" t="s">
        <v>356</v>
      </c>
      <c r="E66" s="205">
        <v>0</v>
      </c>
      <c r="F66" s="205">
        <v>0</v>
      </c>
      <c r="G66" s="166">
        <v>0</v>
      </c>
      <c r="H66" s="166">
        <v>0</v>
      </c>
      <c r="I66" s="166">
        <v>0</v>
      </c>
      <c r="J66" s="166">
        <v>0</v>
      </c>
      <c r="K66" s="166">
        <v>32375</v>
      </c>
      <c r="L66" s="167">
        <v>1662.0700409999999</v>
      </c>
    </row>
    <row r="67" spans="3:12" customFormat="1" ht="13.35" hidden="1" customHeight="1" x14ac:dyDescent="0.2">
      <c r="C67" s="2"/>
      <c r="D67" s="171" t="s">
        <v>223</v>
      </c>
      <c r="E67" s="205">
        <v>0</v>
      </c>
      <c r="F67" s="205">
        <v>0</v>
      </c>
      <c r="G67" s="166">
        <v>0</v>
      </c>
      <c r="H67" s="166">
        <v>0</v>
      </c>
      <c r="I67" s="166">
        <v>0</v>
      </c>
      <c r="J67" s="166">
        <v>0</v>
      </c>
      <c r="K67" s="166">
        <v>0</v>
      </c>
      <c r="L67" s="167">
        <v>0</v>
      </c>
    </row>
    <row r="68" spans="3:12" customFormat="1" ht="13.35" hidden="1" customHeight="1" x14ac:dyDescent="0.2">
      <c r="C68" s="2"/>
      <c r="D68" s="172" t="s">
        <v>224</v>
      </c>
      <c r="E68" s="206">
        <v>5</v>
      </c>
      <c r="F68" s="206">
        <v>-5.9887000000000003E-2</v>
      </c>
      <c r="G68" s="168">
        <v>0</v>
      </c>
      <c r="H68" s="168">
        <v>0</v>
      </c>
      <c r="I68" s="168">
        <v>0</v>
      </c>
      <c r="J68" s="168">
        <v>0</v>
      </c>
      <c r="K68" s="168">
        <v>0</v>
      </c>
      <c r="L68" s="169">
        <v>0</v>
      </c>
    </row>
    <row r="69" spans="3:12" customFormat="1" ht="13.35" customHeight="1" x14ac:dyDescent="0.2">
      <c r="I69" s="1"/>
    </row>
  </sheetData>
  <mergeCells count="1">
    <mergeCell ref="K2:L2"/>
  </mergeCells>
  <phoneticPr fontId="10" type="noConversion"/>
  <hyperlinks>
    <hyperlink ref="G39" location="CONTENTS!A1" display="BACK TO CONTENTS"/>
  </hyperlinks>
  <pageMargins left="0.98425196850393704" right="0.98425196850393704" top="0.98425196850393704" bottom="0.98425196850393704" header="0.51181102362204722" footer="0.51181102362204722"/>
  <pageSetup paperSize="9" scale="86"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376</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54">
        <v>2027</v>
      </c>
      <c r="F4" s="655">
        <v>17.358279</v>
      </c>
      <c r="G4" s="654">
        <v>2118</v>
      </c>
      <c r="H4" s="655">
        <v>18.735671</v>
      </c>
      <c r="I4" s="654">
        <v>1988</v>
      </c>
      <c r="J4" s="655">
        <v>19.615324999999999</v>
      </c>
      <c r="K4" s="654">
        <v>1812</v>
      </c>
      <c r="L4" s="655">
        <v>18.370260999999999</v>
      </c>
    </row>
    <row r="5" spans="1:12" ht="13.35" customHeight="1" x14ac:dyDescent="0.2">
      <c r="B5" s="145"/>
      <c r="C5" s="16" t="s">
        <v>19</v>
      </c>
      <c r="D5" s="339" t="s">
        <v>129</v>
      </c>
      <c r="E5" s="654">
        <v>16</v>
      </c>
      <c r="F5" s="655">
        <v>9.6773999999999999E-2</v>
      </c>
      <c r="G5" s="654">
        <v>25</v>
      </c>
      <c r="H5" s="655">
        <v>9.4344999999999998E-2</v>
      </c>
      <c r="I5" s="654">
        <v>27</v>
      </c>
      <c r="J5" s="655">
        <v>0.15589600000000001</v>
      </c>
      <c r="K5" s="654">
        <v>30</v>
      </c>
      <c r="L5" s="655">
        <v>0.109748</v>
      </c>
    </row>
    <row r="6" spans="1:12" ht="13.35" customHeight="1" x14ac:dyDescent="0.2">
      <c r="B6" s="145"/>
      <c r="C6" s="16" t="s">
        <v>20</v>
      </c>
      <c r="D6" s="338" t="s">
        <v>44</v>
      </c>
      <c r="E6" s="654">
        <v>7556</v>
      </c>
      <c r="F6" s="655">
        <v>11.179997</v>
      </c>
      <c r="G6" s="654">
        <v>9962</v>
      </c>
      <c r="H6" s="655">
        <v>12.800068</v>
      </c>
      <c r="I6" s="654">
        <v>10133</v>
      </c>
      <c r="J6" s="655">
        <v>11.963127</v>
      </c>
      <c r="K6" s="654">
        <v>7795</v>
      </c>
      <c r="L6" s="655">
        <v>9.8107830000000007</v>
      </c>
    </row>
    <row r="7" spans="1:12" ht="13.35" customHeight="1" x14ac:dyDescent="0.2">
      <c r="B7" s="145"/>
      <c r="C7" s="16" t="s">
        <v>21</v>
      </c>
      <c r="D7" s="338" t="s">
        <v>45</v>
      </c>
      <c r="E7" s="654">
        <v>8403</v>
      </c>
      <c r="F7" s="655">
        <v>15.908842999999999</v>
      </c>
      <c r="G7" s="654">
        <v>10016</v>
      </c>
      <c r="H7" s="655">
        <v>18.756637999999999</v>
      </c>
      <c r="I7" s="654">
        <v>9983</v>
      </c>
      <c r="J7" s="655">
        <v>18.335571000000002</v>
      </c>
      <c r="K7" s="654">
        <v>8550</v>
      </c>
      <c r="L7" s="655">
        <v>15.720917999999999</v>
      </c>
    </row>
    <row r="8" spans="1:12" ht="13.35" customHeight="1" x14ac:dyDescent="0.2">
      <c r="B8" s="145"/>
      <c r="C8" s="16" t="s">
        <v>22</v>
      </c>
      <c r="D8" s="338" t="s">
        <v>46</v>
      </c>
      <c r="E8" s="654">
        <v>12479</v>
      </c>
      <c r="F8" s="655">
        <v>29.406317000000001</v>
      </c>
      <c r="G8" s="654">
        <v>13105</v>
      </c>
      <c r="H8" s="655">
        <v>30.987656000000001</v>
      </c>
      <c r="I8" s="654">
        <v>13150</v>
      </c>
      <c r="J8" s="655">
        <v>30.679283999999999</v>
      </c>
      <c r="K8" s="654">
        <v>12299</v>
      </c>
      <c r="L8" s="655">
        <v>28.905892000000001</v>
      </c>
    </row>
    <row r="9" spans="1:12" ht="13.35" customHeight="1" x14ac:dyDescent="0.2">
      <c r="B9" s="145"/>
      <c r="C9" s="16" t="s">
        <v>23</v>
      </c>
      <c r="D9" s="338" t="s">
        <v>47</v>
      </c>
      <c r="E9" s="654">
        <v>26125</v>
      </c>
      <c r="F9" s="655">
        <v>80.055971</v>
      </c>
      <c r="G9" s="654">
        <v>20389</v>
      </c>
      <c r="H9" s="655">
        <v>62.178922999999998</v>
      </c>
      <c r="I9" s="654">
        <v>18302</v>
      </c>
      <c r="J9" s="655">
        <v>53.418263000000003</v>
      </c>
      <c r="K9" s="654">
        <v>16433</v>
      </c>
      <c r="L9" s="655">
        <v>47.521889000000002</v>
      </c>
    </row>
    <row r="10" spans="1:12" s="50" customFormat="1" ht="13.35" customHeight="1" x14ac:dyDescent="0.2">
      <c r="B10" s="145"/>
      <c r="C10" s="16" t="s">
        <v>24</v>
      </c>
      <c r="D10" s="338" t="s">
        <v>48</v>
      </c>
      <c r="E10" s="654">
        <v>55147</v>
      </c>
      <c r="F10" s="655">
        <v>200.463808</v>
      </c>
      <c r="G10" s="654">
        <v>46757</v>
      </c>
      <c r="H10" s="655">
        <v>172.19406799999999</v>
      </c>
      <c r="I10" s="654">
        <v>34522</v>
      </c>
      <c r="J10" s="655">
        <v>124.944726</v>
      </c>
      <c r="K10" s="654">
        <v>24942</v>
      </c>
      <c r="L10" s="655">
        <v>89.930197000000007</v>
      </c>
    </row>
    <row r="11" spans="1:12" s="1" customFormat="1" ht="13.35" customHeight="1" x14ac:dyDescent="0.2">
      <c r="B11" s="631"/>
      <c r="C11" s="16" t="s">
        <v>25</v>
      </c>
      <c r="D11" s="338" t="s">
        <v>49</v>
      </c>
      <c r="E11" s="654">
        <v>72220</v>
      </c>
      <c r="F11" s="655">
        <v>296.29533700000002</v>
      </c>
      <c r="G11" s="654">
        <v>90404</v>
      </c>
      <c r="H11" s="655">
        <v>385.156991</v>
      </c>
      <c r="I11" s="654">
        <v>65107</v>
      </c>
      <c r="J11" s="655">
        <v>275.49251199999998</v>
      </c>
      <c r="K11" s="654">
        <v>44552</v>
      </c>
      <c r="L11" s="655">
        <v>189.89885100000001</v>
      </c>
    </row>
    <row r="12" spans="1:12" s="1" customFormat="1" ht="13.35" customHeight="1" x14ac:dyDescent="0.2">
      <c r="B12" s="631"/>
      <c r="C12" s="16" t="s">
        <v>26</v>
      </c>
      <c r="D12" s="338" t="s">
        <v>50</v>
      </c>
      <c r="E12" s="654">
        <v>71518</v>
      </c>
      <c r="F12" s="655">
        <v>333.97420299999999</v>
      </c>
      <c r="G12" s="654">
        <v>86087</v>
      </c>
      <c r="H12" s="655">
        <v>412.96223300000003</v>
      </c>
      <c r="I12" s="654">
        <v>100587</v>
      </c>
      <c r="J12" s="655">
        <v>481.45236899999998</v>
      </c>
      <c r="K12" s="654">
        <v>76145</v>
      </c>
      <c r="L12" s="655">
        <v>372.09130599999997</v>
      </c>
    </row>
    <row r="13" spans="1:12" s="1" customFormat="1" ht="13.35" customHeight="1" x14ac:dyDescent="0.2">
      <c r="B13" s="631"/>
      <c r="C13" s="16" t="s">
        <v>27</v>
      </c>
      <c r="D13" s="338" t="s">
        <v>51</v>
      </c>
      <c r="E13" s="654">
        <v>76174</v>
      </c>
      <c r="F13" s="655">
        <v>400.52532000000002</v>
      </c>
      <c r="G13" s="654">
        <v>80892</v>
      </c>
      <c r="H13" s="655">
        <v>434.565112</v>
      </c>
      <c r="I13" s="654">
        <v>83237</v>
      </c>
      <c r="J13" s="655">
        <v>444.83341100000001</v>
      </c>
      <c r="K13" s="654">
        <v>96907</v>
      </c>
      <c r="L13" s="655">
        <v>524.12961900000005</v>
      </c>
    </row>
    <row r="14" spans="1:12" s="1" customFormat="1" ht="13.35" customHeight="1" x14ac:dyDescent="0.2">
      <c r="B14" s="631"/>
      <c r="C14" s="16" t="s">
        <v>28</v>
      </c>
      <c r="D14" s="338" t="s">
        <v>52</v>
      </c>
      <c r="E14" s="654">
        <v>88961</v>
      </c>
      <c r="F14" s="655">
        <v>532.110996</v>
      </c>
      <c r="G14" s="654">
        <v>86206</v>
      </c>
      <c r="H14" s="655">
        <v>515.82817499999999</v>
      </c>
      <c r="I14" s="654">
        <v>73987</v>
      </c>
      <c r="J14" s="655">
        <v>438.226179</v>
      </c>
      <c r="K14" s="654">
        <v>83321</v>
      </c>
      <c r="L14" s="655">
        <v>492.77558599999998</v>
      </c>
    </row>
    <row r="15" spans="1:12" customFormat="1" ht="13.35" customHeight="1" x14ac:dyDescent="0.2">
      <c r="A15" s="1"/>
      <c r="B15" s="631"/>
      <c r="C15" s="16" t="s">
        <v>29</v>
      </c>
      <c r="D15" s="338" t="s">
        <v>53</v>
      </c>
      <c r="E15" s="654">
        <v>107299</v>
      </c>
      <c r="F15" s="655">
        <v>704.22869000000003</v>
      </c>
      <c r="G15" s="654">
        <v>91183</v>
      </c>
      <c r="H15" s="655">
        <v>604.81362899999999</v>
      </c>
      <c r="I15" s="654">
        <v>80816</v>
      </c>
      <c r="J15" s="655">
        <v>525.41505099999995</v>
      </c>
      <c r="K15" s="654">
        <v>73292</v>
      </c>
      <c r="L15" s="655">
        <v>477.93472500000001</v>
      </c>
    </row>
    <row r="16" spans="1:12" customFormat="1" ht="13.35" customHeight="1" x14ac:dyDescent="0.2">
      <c r="A16" s="1"/>
      <c r="B16" s="631"/>
      <c r="C16" s="16" t="s">
        <v>30</v>
      </c>
      <c r="D16" s="338" t="s">
        <v>54</v>
      </c>
      <c r="E16" s="654">
        <v>95657</v>
      </c>
      <c r="F16" s="655">
        <v>686.80809599999998</v>
      </c>
      <c r="G16" s="654">
        <v>106586</v>
      </c>
      <c r="H16" s="655">
        <v>773.65334399999995</v>
      </c>
      <c r="I16" s="654">
        <v>85170</v>
      </c>
      <c r="J16" s="655">
        <v>611.66025100000002</v>
      </c>
      <c r="K16" s="654">
        <v>76962</v>
      </c>
      <c r="L16" s="655">
        <v>551.75938699999995</v>
      </c>
    </row>
    <row r="17" spans="1:12" customFormat="1" ht="13.35" customHeight="1" x14ac:dyDescent="0.2">
      <c r="A17" s="1"/>
      <c r="B17" s="631"/>
      <c r="C17" s="16" t="s">
        <v>31</v>
      </c>
      <c r="D17" s="338" t="s">
        <v>55</v>
      </c>
      <c r="E17" s="654">
        <v>116414</v>
      </c>
      <c r="F17" s="655">
        <v>944.93160399999999</v>
      </c>
      <c r="G17" s="654">
        <v>93081</v>
      </c>
      <c r="H17" s="655">
        <v>730.47354199999995</v>
      </c>
      <c r="I17" s="654">
        <v>98636</v>
      </c>
      <c r="J17" s="655">
        <v>770.09909500000003</v>
      </c>
      <c r="K17" s="654">
        <v>81813</v>
      </c>
      <c r="L17" s="655">
        <v>639.87112000000002</v>
      </c>
    </row>
    <row r="18" spans="1:12" customFormat="1" ht="13.35" customHeight="1" x14ac:dyDescent="0.2">
      <c r="A18" s="1"/>
      <c r="B18" s="631"/>
      <c r="C18" s="16" t="s">
        <v>32</v>
      </c>
      <c r="D18" s="338" t="s">
        <v>56</v>
      </c>
      <c r="E18" s="654">
        <v>129410</v>
      </c>
      <c r="F18" s="655">
        <v>1127.55115</v>
      </c>
      <c r="G18" s="654">
        <v>87931</v>
      </c>
      <c r="H18" s="655">
        <v>750.86428000000001</v>
      </c>
      <c r="I18" s="654">
        <v>88446</v>
      </c>
      <c r="J18" s="655">
        <v>744.58290499999998</v>
      </c>
      <c r="K18" s="654">
        <v>103041</v>
      </c>
      <c r="L18" s="655">
        <v>867.87103300000001</v>
      </c>
    </row>
    <row r="19" spans="1:12" customFormat="1" ht="13.35" customHeight="1" x14ac:dyDescent="0.2">
      <c r="A19" s="1"/>
      <c r="B19" s="631"/>
      <c r="C19" s="16" t="s">
        <v>33</v>
      </c>
      <c r="D19" s="338" t="s">
        <v>57</v>
      </c>
      <c r="E19" s="654">
        <v>97324</v>
      </c>
      <c r="F19" s="655">
        <v>878.62100699999996</v>
      </c>
      <c r="G19" s="654">
        <v>105157</v>
      </c>
      <c r="H19" s="655">
        <v>1000.939711</v>
      </c>
      <c r="I19" s="654">
        <v>85753</v>
      </c>
      <c r="J19" s="655">
        <v>789.26316499999996</v>
      </c>
      <c r="K19" s="654">
        <v>86208</v>
      </c>
      <c r="L19" s="655">
        <v>775.64619800000003</v>
      </c>
    </row>
    <row r="20" spans="1:12" customFormat="1" ht="13.35" customHeight="1" x14ac:dyDescent="0.2">
      <c r="A20" s="1"/>
      <c r="B20" s="631"/>
      <c r="C20" s="16" t="s">
        <v>34</v>
      </c>
      <c r="D20" s="338" t="s">
        <v>58</v>
      </c>
      <c r="E20" s="654">
        <v>369559</v>
      </c>
      <c r="F20" s="655">
        <v>3867.6330899999998</v>
      </c>
      <c r="G20" s="654">
        <v>441617</v>
      </c>
      <c r="H20" s="655">
        <v>4885.7138530000002</v>
      </c>
      <c r="I20" s="654">
        <v>451856</v>
      </c>
      <c r="J20" s="655">
        <v>5055.1045910000003</v>
      </c>
      <c r="K20" s="654">
        <v>420213</v>
      </c>
      <c r="L20" s="655">
        <v>4762.7190449999998</v>
      </c>
    </row>
    <row r="21" spans="1:12" customFormat="1" ht="13.35" customHeight="1" x14ac:dyDescent="0.2">
      <c r="A21" s="1"/>
      <c r="B21" s="631"/>
      <c r="C21" s="16" t="s">
        <v>35</v>
      </c>
      <c r="D21" s="338" t="s">
        <v>59</v>
      </c>
      <c r="E21" s="654">
        <v>286406</v>
      </c>
      <c r="F21" s="655">
        <v>3771.4941130000002</v>
      </c>
      <c r="G21" s="654">
        <v>348014</v>
      </c>
      <c r="H21" s="655">
        <v>4933.4255789999997</v>
      </c>
      <c r="I21" s="654">
        <v>416635</v>
      </c>
      <c r="J21" s="655">
        <v>6065.2482120000004</v>
      </c>
      <c r="K21" s="654">
        <v>471576</v>
      </c>
      <c r="L21" s="655">
        <v>7012.8882599999997</v>
      </c>
    </row>
    <row r="22" spans="1:12" customFormat="1" ht="13.35" customHeight="1" x14ac:dyDescent="0.2">
      <c r="A22" s="1"/>
      <c r="B22" s="631"/>
      <c r="C22" s="16" t="s">
        <v>36</v>
      </c>
      <c r="D22" s="338" t="s">
        <v>60</v>
      </c>
      <c r="E22" s="654">
        <v>121998</v>
      </c>
      <c r="F22" s="655">
        <v>2038.146698</v>
      </c>
      <c r="G22" s="654">
        <v>135653</v>
      </c>
      <c r="H22" s="655">
        <v>2489.4417539999999</v>
      </c>
      <c r="I22" s="654">
        <v>162139</v>
      </c>
      <c r="J22" s="655">
        <v>3054.9179509999999</v>
      </c>
      <c r="K22" s="654">
        <v>177379</v>
      </c>
      <c r="L22" s="655">
        <v>3421.7936300000001</v>
      </c>
    </row>
    <row r="23" spans="1:12" customFormat="1" ht="13.35" customHeight="1" x14ac:dyDescent="0.2">
      <c r="A23" s="1"/>
      <c r="B23" s="631"/>
      <c r="C23" s="16" t="s">
        <v>37</v>
      </c>
      <c r="D23" s="338" t="s">
        <v>61</v>
      </c>
      <c r="E23" s="654">
        <v>62754</v>
      </c>
      <c r="F23" s="655">
        <v>1282.1233179999999</v>
      </c>
      <c r="G23" s="654">
        <v>64107</v>
      </c>
      <c r="H23" s="655">
        <v>1428.078078</v>
      </c>
      <c r="I23" s="654">
        <v>77279</v>
      </c>
      <c r="J23" s="655">
        <v>1735.6279019999999</v>
      </c>
      <c r="K23" s="654">
        <v>89781</v>
      </c>
      <c r="L23" s="655">
        <v>2066.4566450000002</v>
      </c>
    </row>
    <row r="24" spans="1:12" customFormat="1" ht="13.35" customHeight="1" x14ac:dyDescent="0.2">
      <c r="A24" s="1"/>
      <c r="B24" s="631"/>
      <c r="C24" s="16" t="s">
        <v>38</v>
      </c>
      <c r="D24" s="338" t="s">
        <v>62</v>
      </c>
      <c r="E24" s="654">
        <v>59600</v>
      </c>
      <c r="F24" s="655">
        <v>1511.8252440000001</v>
      </c>
      <c r="G24" s="654">
        <v>67753</v>
      </c>
      <c r="H24" s="655">
        <v>1935.786482</v>
      </c>
      <c r="I24" s="654">
        <v>82463</v>
      </c>
      <c r="J24" s="655">
        <v>2374.2275989999998</v>
      </c>
      <c r="K24" s="654">
        <v>91907</v>
      </c>
      <c r="L24" s="655">
        <v>2667.7731319999998</v>
      </c>
    </row>
    <row r="25" spans="1:12" customFormat="1" ht="13.35" customHeight="1" x14ac:dyDescent="0.2">
      <c r="A25" s="1"/>
      <c r="B25" s="631"/>
      <c r="C25" s="16" t="s">
        <v>39</v>
      </c>
      <c r="D25" s="338" t="s">
        <v>63</v>
      </c>
      <c r="E25" s="654">
        <v>17981</v>
      </c>
      <c r="F25" s="655">
        <v>568.35978399999999</v>
      </c>
      <c r="G25" s="654">
        <v>18711</v>
      </c>
      <c r="H25" s="655">
        <v>715.39267700000005</v>
      </c>
      <c r="I25" s="654">
        <v>23946</v>
      </c>
      <c r="J25" s="655">
        <v>919.11622199999999</v>
      </c>
      <c r="K25" s="654">
        <v>28899</v>
      </c>
      <c r="L25" s="655">
        <v>1115.6708040000001</v>
      </c>
    </row>
    <row r="26" spans="1:12" customFormat="1" ht="13.35" customHeight="1" x14ac:dyDescent="0.2">
      <c r="A26" s="1"/>
      <c r="B26" s="631"/>
      <c r="C26" s="16" t="s">
        <v>40</v>
      </c>
      <c r="D26" s="338" t="s">
        <v>64</v>
      </c>
      <c r="E26" s="654">
        <v>15926</v>
      </c>
      <c r="F26" s="655">
        <v>637.54437199999995</v>
      </c>
      <c r="G26" s="654">
        <v>14548</v>
      </c>
      <c r="H26" s="655">
        <v>743.98588500000005</v>
      </c>
      <c r="I26" s="654">
        <v>19023</v>
      </c>
      <c r="J26" s="655">
        <v>989.33121700000004</v>
      </c>
      <c r="K26" s="654">
        <v>22486</v>
      </c>
      <c r="L26" s="655">
        <v>1214.573969</v>
      </c>
    </row>
    <row r="27" spans="1:12" customFormat="1" ht="13.35" customHeight="1" x14ac:dyDescent="0.2">
      <c r="A27" s="1"/>
      <c r="B27" s="631"/>
      <c r="C27" s="16" t="s">
        <v>41</v>
      </c>
      <c r="D27" s="338" t="s">
        <v>65</v>
      </c>
      <c r="E27" s="654">
        <v>4012</v>
      </c>
      <c r="F27" s="655">
        <v>251.37895900000001</v>
      </c>
      <c r="G27" s="654">
        <v>3517</v>
      </c>
      <c r="H27" s="655">
        <v>264.03925700000002</v>
      </c>
      <c r="I27" s="654">
        <v>4633</v>
      </c>
      <c r="J27" s="655">
        <v>354.58805699999999</v>
      </c>
      <c r="K27" s="654">
        <v>4806</v>
      </c>
      <c r="L27" s="655">
        <v>406.61545899999999</v>
      </c>
    </row>
    <row r="28" spans="1:12" customFormat="1" ht="13.35" customHeight="1" x14ac:dyDescent="0.2">
      <c r="A28" s="1"/>
      <c r="B28" s="632"/>
      <c r="C28" s="280" t="s">
        <v>42</v>
      </c>
      <c r="D28" s="434" t="s">
        <v>66</v>
      </c>
      <c r="E28" s="656">
        <v>767</v>
      </c>
      <c r="F28" s="657">
        <v>82.950239999999994</v>
      </c>
      <c r="G28" s="656">
        <v>566</v>
      </c>
      <c r="H28" s="657">
        <v>68.41319</v>
      </c>
      <c r="I28" s="656">
        <v>740</v>
      </c>
      <c r="J28" s="657">
        <v>90.820781999999994</v>
      </c>
      <c r="K28" s="656">
        <v>829</v>
      </c>
      <c r="L28" s="657">
        <v>109.54116399999999</v>
      </c>
    </row>
    <row r="29" spans="1:12" customFormat="1" ht="13.35" customHeight="1" x14ac:dyDescent="0.2">
      <c r="A29" s="1"/>
      <c r="B29" s="632"/>
      <c r="C29" s="635" t="s">
        <v>8</v>
      </c>
      <c r="D29" s="636"/>
      <c r="E29" s="658">
        <f t="shared" ref="E29:L29" si="0">SUM(E4:E28)</f>
        <v>1905733</v>
      </c>
      <c r="F29" s="659">
        <f t="shared" si="0"/>
        <v>20270.972210000004</v>
      </c>
      <c r="G29" s="658">
        <f t="shared" si="0"/>
        <v>2024385</v>
      </c>
      <c r="H29" s="659">
        <f t="shared" si="0"/>
        <v>23389.281140999996</v>
      </c>
      <c r="I29" s="658">
        <f t="shared" si="0"/>
        <v>2088558</v>
      </c>
      <c r="J29" s="659">
        <f t="shared" si="0"/>
        <v>25979.119662999998</v>
      </c>
      <c r="K29" s="658">
        <f t="shared" si="0"/>
        <v>2101978</v>
      </c>
      <c r="L29" s="659">
        <f t="shared" si="0"/>
        <v>27880.379620999996</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A2.7.1!E4-A2.7.2!E29</f>
        <v>0</v>
      </c>
      <c r="F34" s="84">
        <f>A2.7.1!F4-A2.7.2!F29</f>
        <v>0</v>
      </c>
      <c r="G34" s="84">
        <f>A2.7.1!G4-A2.7.2!G29</f>
        <v>0</v>
      </c>
      <c r="H34" s="84">
        <f>A2.7.1!H4-A2.7.2!H29</f>
        <v>0</v>
      </c>
      <c r="I34" s="84">
        <f>A2.7.1!I4-A2.7.2!I29</f>
        <v>0</v>
      </c>
      <c r="J34" s="84">
        <f>A2.7.1!J4-A2.7.2!J29</f>
        <v>0</v>
      </c>
      <c r="K34" s="84">
        <f>A2.7.1!K4-A2.7.2!K29</f>
        <v>0</v>
      </c>
      <c r="L34" s="107">
        <f>A2.7.1!L4-A2.7.2!L29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15" customHeight="1" x14ac:dyDescent="0.2">
      <c r="A1" s="69"/>
      <c r="B1" s="439" t="s">
        <v>434</v>
      </c>
      <c r="C1" s="311"/>
      <c r="D1" s="311"/>
      <c r="E1" s="311"/>
      <c r="F1" s="311"/>
      <c r="G1" s="311"/>
      <c r="H1" s="311"/>
      <c r="I1" s="311"/>
      <c r="J1" s="311"/>
      <c r="K1" s="311"/>
      <c r="L1" s="311"/>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A2.7.2!E4/A2.7.2!E$29</f>
        <v>1.0636327334416732E-3</v>
      </c>
      <c r="F4" s="640">
        <f>A2.7.2!F4/A2.7.2!F$29</f>
        <v>8.5631211074508186E-4</v>
      </c>
      <c r="G4" s="639">
        <f>A2.7.2!G4/A2.7.2!G$29</f>
        <v>1.0462436740046976E-3</v>
      </c>
      <c r="H4" s="640">
        <f>A2.7.2!H4/A2.7.2!H$29</f>
        <v>8.0103663242379441E-4</v>
      </c>
      <c r="I4" s="639">
        <f>A2.7.2!I4/A2.7.2!I$29</f>
        <v>9.518529052101977E-4</v>
      </c>
      <c r="J4" s="640">
        <f>A2.7.2!J4/A2.7.2!J$29</f>
        <v>7.5504194347033834E-4</v>
      </c>
      <c r="K4" s="639">
        <f>A2.7.2!K4/A2.7.2!K$29</f>
        <v>8.6204517839863211E-4</v>
      </c>
      <c r="L4" s="640">
        <f>A2.7.2!L4/A2.7.2!L$29</f>
        <v>6.5889565528595576E-4</v>
      </c>
    </row>
    <row r="5" spans="1:12" ht="13.35" customHeight="1" x14ac:dyDescent="0.2">
      <c r="B5" s="145"/>
      <c r="C5" s="16" t="s">
        <v>19</v>
      </c>
      <c r="D5" s="339" t="s">
        <v>129</v>
      </c>
      <c r="E5" s="639">
        <f>A2.7.2!E5/A2.7.2!E$29</f>
        <v>8.3957196522283021E-6</v>
      </c>
      <c r="F5" s="640">
        <f>A2.7.2!F5/A2.7.2!F$29</f>
        <v>4.7740186803798091E-6</v>
      </c>
      <c r="G5" s="639">
        <f>A2.7.2!G5/A2.7.2!G$29</f>
        <v>1.2349429579847707E-5</v>
      </c>
      <c r="H5" s="640">
        <f>A2.7.2!H5/A2.7.2!H$29</f>
        <v>4.0336853206924309E-6</v>
      </c>
      <c r="I5" s="639">
        <f>A2.7.2!I5/A2.7.2!I$29</f>
        <v>1.2927579698528841E-5</v>
      </c>
      <c r="J5" s="640">
        <f>A2.7.2!J5/A2.7.2!J$29</f>
        <v>6.0008191971966754E-6</v>
      </c>
      <c r="K5" s="639">
        <f>A2.7.2!K5/A2.7.2!K$29</f>
        <v>1.4272271165540268E-5</v>
      </c>
      <c r="L5" s="640">
        <f>A2.7.2!L5/A2.7.2!L$29</f>
        <v>3.9363882949906417E-6</v>
      </c>
    </row>
    <row r="6" spans="1:12" ht="13.35" customHeight="1" x14ac:dyDescent="0.2">
      <c r="B6" s="145"/>
      <c r="C6" s="16" t="s">
        <v>20</v>
      </c>
      <c r="D6" s="338" t="s">
        <v>44</v>
      </c>
      <c r="E6" s="639">
        <f>A2.7.2!E6/A2.7.2!E$29</f>
        <v>3.9648786057648157E-3</v>
      </c>
      <c r="F6" s="640">
        <f>A2.7.2!F6/A2.7.2!F$29</f>
        <v>5.515274198089386E-4</v>
      </c>
      <c r="G6" s="639">
        <f>A2.7.2!G6/A2.7.2!G$29</f>
        <v>4.9210006989777143E-3</v>
      </c>
      <c r="H6" s="640">
        <f>A2.7.2!H6/A2.7.2!H$29</f>
        <v>5.4726213785007073E-4</v>
      </c>
      <c r="I6" s="639">
        <f>A2.7.2!I6/A2.7.2!I$29</f>
        <v>4.8516727809330652E-3</v>
      </c>
      <c r="J6" s="640">
        <f>A2.7.2!J6/A2.7.2!J$29</f>
        <v>4.6049008415932331E-4</v>
      </c>
      <c r="K6" s="639">
        <f>A2.7.2!K6/A2.7.2!K$29</f>
        <v>3.7084117911795459E-3</v>
      </c>
      <c r="L6" s="640">
        <f>A2.7.2!L6/A2.7.2!L$29</f>
        <v>3.5188842954671771E-4</v>
      </c>
    </row>
    <row r="7" spans="1:12" ht="13.35" customHeight="1" x14ac:dyDescent="0.2">
      <c r="B7" s="145"/>
      <c r="C7" s="16" t="s">
        <v>21</v>
      </c>
      <c r="D7" s="338" t="s">
        <v>45</v>
      </c>
      <c r="E7" s="639">
        <f>A2.7.2!E7/A2.7.2!E$29</f>
        <v>4.4093270148546516E-3</v>
      </c>
      <c r="F7" s="640">
        <f>A2.7.2!F7/A2.7.2!F$29</f>
        <v>7.8480907749219379E-4</v>
      </c>
      <c r="G7" s="639">
        <f>A2.7.2!G7/A2.7.2!G$29</f>
        <v>4.9476754668701852E-3</v>
      </c>
      <c r="H7" s="640">
        <f>A2.7.2!H7/A2.7.2!H$29</f>
        <v>8.0193306869618774E-4</v>
      </c>
      <c r="I7" s="639">
        <f>A2.7.2!I7/A2.7.2!I$29</f>
        <v>4.7798528937190157E-3</v>
      </c>
      <c r="J7" s="640">
        <f>A2.7.2!J7/A2.7.2!J$29</f>
        <v>7.0578107487275269E-4</v>
      </c>
      <c r="K7" s="639">
        <f>A2.7.2!K7/A2.7.2!K$29</f>
        <v>4.0675972821789764E-3</v>
      </c>
      <c r="L7" s="640">
        <f>A2.7.2!L7/A2.7.2!L$29</f>
        <v>5.6387029924652552E-4</v>
      </c>
    </row>
    <row r="8" spans="1:12" ht="13.35" customHeight="1" x14ac:dyDescent="0.2">
      <c r="B8" s="145"/>
      <c r="C8" s="16" t="s">
        <v>22</v>
      </c>
      <c r="D8" s="338" t="s">
        <v>46</v>
      </c>
      <c r="E8" s="639">
        <f>A2.7.2!E8/A2.7.2!E$29</f>
        <v>6.5481365962598119E-3</v>
      </c>
      <c r="F8" s="640">
        <f>A2.7.2!F8/A2.7.2!F$29</f>
        <v>1.4506614036742342E-3</v>
      </c>
      <c r="G8" s="639">
        <f>A2.7.2!G8/A2.7.2!G$29</f>
        <v>6.4735709857561682E-3</v>
      </c>
      <c r="H8" s="640">
        <f>A2.7.2!H8/A2.7.2!H$29</f>
        <v>1.3248656858324951E-3</v>
      </c>
      <c r="I8" s="639">
        <f>A2.7.2!I8/A2.7.2!I$29</f>
        <v>6.2962101124316395E-3</v>
      </c>
      <c r="J8" s="640">
        <f>A2.7.2!J8/A2.7.2!J$29</f>
        <v>1.1809208471253193E-3</v>
      </c>
      <c r="K8" s="639">
        <f>A2.7.2!K8/A2.7.2!K$29</f>
        <v>5.8511554354993252E-3</v>
      </c>
      <c r="L8" s="640">
        <f>A2.7.2!L8/A2.7.2!L$29</f>
        <v>1.0367825830544851E-3</v>
      </c>
    </row>
    <row r="9" spans="1:12" ht="13.35" customHeight="1" x14ac:dyDescent="0.2">
      <c r="B9" s="145"/>
      <c r="C9" s="16" t="s">
        <v>23</v>
      </c>
      <c r="D9" s="338" t="s">
        <v>47</v>
      </c>
      <c r="E9" s="639">
        <f>A2.7.2!E9/A2.7.2!E$29</f>
        <v>1.3708635994654026E-2</v>
      </c>
      <c r="F9" s="640">
        <f>A2.7.2!F9/A2.7.2!F$29</f>
        <v>3.9492911425583763E-3</v>
      </c>
      <c r="G9" s="639">
        <f>A2.7.2!G9/A2.7.2!G$29</f>
        <v>1.0071700788140596E-2</v>
      </c>
      <c r="H9" s="640">
        <f>A2.7.2!H9/A2.7.2!H$29</f>
        <v>2.6584366841015949E-3</v>
      </c>
      <c r="I9" s="639">
        <f>A2.7.2!I9/A2.7.2!I$29</f>
        <v>8.7629838386101798E-3</v>
      </c>
      <c r="J9" s="640">
        <f>A2.7.2!J9/A2.7.2!J$29</f>
        <v>2.0561998902556889E-3</v>
      </c>
      <c r="K9" s="639">
        <f>A2.7.2!K9/A2.7.2!K$29</f>
        <v>7.8178744021107742E-3</v>
      </c>
      <c r="L9" s="640">
        <f>A2.7.2!L9/A2.7.2!L$29</f>
        <v>1.7044921785858923E-3</v>
      </c>
    </row>
    <row r="10" spans="1:12" s="50" customFormat="1" ht="13.35" customHeight="1" x14ac:dyDescent="0.2">
      <c r="B10" s="145"/>
      <c r="C10" s="16" t="s">
        <v>24</v>
      </c>
      <c r="D10" s="338" t="s">
        <v>48</v>
      </c>
      <c r="E10" s="639">
        <f>A2.7.2!E10/A2.7.2!E$29</f>
        <v>2.8937421978839639E-2</v>
      </c>
      <c r="F10" s="640">
        <f>A2.7.2!F10/A2.7.2!F$29</f>
        <v>9.8892054077755528E-3</v>
      </c>
      <c r="G10" s="639">
        <f>A2.7.2!G10/A2.7.2!G$29</f>
        <v>2.3096891154597569E-2</v>
      </c>
      <c r="H10" s="640">
        <f>A2.7.2!H10/A2.7.2!H$29</f>
        <v>7.3620932153470164E-3</v>
      </c>
      <c r="I10" s="639">
        <f>A2.7.2!I10/A2.7.2!I$29</f>
        <v>1.6529107642689358E-2</v>
      </c>
      <c r="J10" s="640">
        <f>A2.7.2!J10/A2.7.2!J$29</f>
        <v>4.8094287882259872E-3</v>
      </c>
      <c r="K10" s="639">
        <f>A2.7.2!K10/A2.7.2!K$29</f>
        <v>1.1865966247030178E-2</v>
      </c>
      <c r="L10" s="640">
        <f>A2.7.2!L10/A2.7.2!L$29</f>
        <v>3.2255729018934517E-3</v>
      </c>
    </row>
    <row r="11" spans="1:12" s="1" customFormat="1" ht="13.35" customHeight="1" x14ac:dyDescent="0.2">
      <c r="B11" s="631"/>
      <c r="C11" s="16" t="s">
        <v>25</v>
      </c>
      <c r="D11" s="338" t="s">
        <v>49</v>
      </c>
      <c r="E11" s="639">
        <f>A2.7.2!E11/A2.7.2!E$29</f>
        <v>3.78961795802455E-2</v>
      </c>
      <c r="F11" s="640">
        <f>A2.7.2!F11/A2.7.2!F$29</f>
        <v>1.4616730462184377E-2</v>
      </c>
      <c r="G11" s="639">
        <f>A2.7.2!G11/A2.7.2!G$29</f>
        <v>4.465751326946208E-2</v>
      </c>
      <c r="H11" s="640">
        <f>A2.7.2!H11/A2.7.2!H$29</f>
        <v>1.6467243635155726E-2</v>
      </c>
      <c r="I11" s="639">
        <f>A2.7.2!I11/A2.7.2!I$29</f>
        <v>3.1173182645633974E-2</v>
      </c>
      <c r="J11" s="640">
        <f>A2.7.2!J11/A2.7.2!J$29</f>
        <v>1.0604382118165541E-2</v>
      </c>
      <c r="K11" s="639">
        <f>A2.7.2!K11/A2.7.2!K$29</f>
        <v>2.1195274165571668E-2</v>
      </c>
      <c r="L11" s="640">
        <f>A2.7.2!L11/A2.7.2!L$29</f>
        <v>6.8112003344805543E-3</v>
      </c>
    </row>
    <row r="12" spans="1:12" s="1" customFormat="1" ht="13.35" customHeight="1" x14ac:dyDescent="0.2">
      <c r="B12" s="631"/>
      <c r="C12" s="16" t="s">
        <v>26</v>
      </c>
      <c r="D12" s="338" t="s">
        <v>50</v>
      </c>
      <c r="E12" s="639">
        <f>A2.7.2!E12/A2.7.2!E$29</f>
        <v>3.7527817380503987E-2</v>
      </c>
      <c r="F12" s="640">
        <f>A2.7.2!F12/A2.7.2!F$29</f>
        <v>1.6475490151145539E-2</v>
      </c>
      <c r="G12" s="639">
        <f>A2.7.2!G12/A2.7.2!G$29</f>
        <v>4.2525013769613984E-2</v>
      </c>
      <c r="H12" s="640">
        <f>A2.7.2!H12/A2.7.2!H$29</f>
        <v>1.765604639623157E-2</v>
      </c>
      <c r="I12" s="639">
        <f>A2.7.2!I12/A2.7.2!I$29</f>
        <v>4.8160979967997057E-2</v>
      </c>
      <c r="J12" s="640">
        <f>A2.7.2!J12/A2.7.2!J$29</f>
        <v>1.8532281895821685E-2</v>
      </c>
      <c r="K12" s="639">
        <f>A2.7.2!K12/A2.7.2!K$29</f>
        <v>3.6225402930002121E-2</v>
      </c>
      <c r="L12" s="640">
        <f>A2.7.2!L12/A2.7.2!L$29</f>
        <v>1.3345991376664548E-2</v>
      </c>
    </row>
    <row r="13" spans="1:12" s="1" customFormat="1" ht="13.35" customHeight="1" x14ac:dyDescent="0.2">
      <c r="B13" s="631"/>
      <c r="C13" s="16" t="s">
        <v>27</v>
      </c>
      <c r="D13" s="338" t="s">
        <v>51</v>
      </c>
      <c r="E13" s="639">
        <f>A2.7.2!E13/A2.7.2!E$29</f>
        <v>3.9970971799302424E-2</v>
      </c>
      <c r="F13" s="640">
        <f>A2.7.2!F13/A2.7.2!F$29</f>
        <v>1.9758564900129175E-2</v>
      </c>
      <c r="G13" s="639">
        <f>A2.7.2!G13/A2.7.2!G$29</f>
        <v>3.9958802302921627E-2</v>
      </c>
      <c r="H13" s="640">
        <f>A2.7.2!H13/A2.7.2!H$29</f>
        <v>1.8579669438332315E-2</v>
      </c>
      <c r="I13" s="639">
        <f>A2.7.2!I13/A2.7.2!I$29</f>
        <v>3.9853813013572041E-2</v>
      </c>
      <c r="J13" s="640">
        <f>A2.7.2!J13/A2.7.2!J$29</f>
        <v>1.7122728436157943E-2</v>
      </c>
      <c r="K13" s="639">
        <f>A2.7.2!K13/A2.7.2!K$29</f>
        <v>4.6102766061300357E-2</v>
      </c>
      <c r="L13" s="640">
        <f>A2.7.2!L13/A2.7.2!L$29</f>
        <v>1.8799228207252112E-2</v>
      </c>
    </row>
    <row r="14" spans="1:12" s="1" customFormat="1" ht="13.35" customHeight="1" x14ac:dyDescent="0.2">
      <c r="B14" s="631"/>
      <c r="C14" s="16" t="s">
        <v>28</v>
      </c>
      <c r="D14" s="338" t="s">
        <v>52</v>
      </c>
      <c r="E14" s="639">
        <f>A2.7.2!E14/A2.7.2!E$29</f>
        <v>4.6680725998867627E-2</v>
      </c>
      <c r="F14" s="640">
        <f>A2.7.2!F14/A2.7.2!F$29</f>
        <v>2.6249900127508483E-2</v>
      </c>
      <c r="G14" s="639">
        <f>A2.7.2!G14/A2.7.2!G$29</f>
        <v>4.2583797054414056E-2</v>
      </c>
      <c r="H14" s="640">
        <f>A2.7.2!H14/A2.7.2!H$29</f>
        <v>2.2054041417108129E-2</v>
      </c>
      <c r="I14" s="639">
        <f>A2.7.2!I14/A2.7.2!I$29</f>
        <v>3.5424919968705684E-2</v>
      </c>
      <c r="J14" s="640">
        <f>A2.7.2!J14/A2.7.2!J$29</f>
        <v>1.6868399879774634E-2</v>
      </c>
      <c r="K14" s="639">
        <f>A2.7.2!K14/A2.7.2!K$29</f>
        <v>3.9639330192799353E-2</v>
      </c>
      <c r="L14" s="640">
        <f>A2.7.2!L14/A2.7.2!L$29</f>
        <v>1.7674636884385631E-2</v>
      </c>
    </row>
    <row r="15" spans="1:12" customFormat="1" ht="13.35" customHeight="1" x14ac:dyDescent="0.2">
      <c r="A15" s="1"/>
      <c r="B15" s="631"/>
      <c r="C15" s="16" t="s">
        <v>29</v>
      </c>
      <c r="D15" s="338" t="s">
        <v>53</v>
      </c>
      <c r="E15" s="639">
        <f>A2.7.2!E15/A2.7.2!E$29</f>
        <v>5.6303270185277789E-2</v>
      </c>
      <c r="F15" s="640">
        <f>A2.7.2!F15/A2.7.2!F$29</f>
        <v>3.4740745668458486E-2</v>
      </c>
      <c r="G15" s="639">
        <f>A2.7.2!G15/A2.7.2!G$29</f>
        <v>4.5042321495170137E-2</v>
      </c>
      <c r="H15" s="640">
        <f>A2.7.2!H15/A2.7.2!H$29</f>
        <v>2.5858581345614692E-2</v>
      </c>
      <c r="I15" s="639">
        <f>A2.7.2!I15/A2.7.2!I$29</f>
        <v>3.8694640033937293E-2</v>
      </c>
      <c r="J15" s="640">
        <f>A2.7.2!J15/A2.7.2!J$29</f>
        <v>2.0224513294355657E-2</v>
      </c>
      <c r="K15" s="639">
        <f>A2.7.2!K15/A2.7.2!K$29</f>
        <v>3.4868109942159241E-2</v>
      </c>
      <c r="L15" s="640">
        <f>A2.7.2!L15/A2.7.2!L$29</f>
        <v>1.7142332044862513E-2</v>
      </c>
    </row>
    <row r="16" spans="1:12" customFormat="1" ht="13.35" customHeight="1" x14ac:dyDescent="0.2">
      <c r="A16" s="1"/>
      <c r="B16" s="631"/>
      <c r="C16" s="16" t="s">
        <v>30</v>
      </c>
      <c r="D16" s="338" t="s">
        <v>54</v>
      </c>
      <c r="E16" s="639">
        <f>A2.7.2!E16/A2.7.2!E$29</f>
        <v>5.0194334673325174E-2</v>
      </c>
      <c r="F16" s="640">
        <f>A2.7.2!F16/A2.7.2!F$29</f>
        <v>3.3881359457499836E-2</v>
      </c>
      <c r="G16" s="639">
        <f>A2.7.2!G16/A2.7.2!G$29</f>
        <v>5.2651052047905905E-2</v>
      </c>
      <c r="H16" s="640">
        <f>A2.7.2!H16/A2.7.2!H$29</f>
        <v>3.3077260448327005E-2</v>
      </c>
      <c r="I16" s="639">
        <f>A2.7.2!I16/A2.7.2!I$29</f>
        <v>4.077933196013709E-2</v>
      </c>
      <c r="J16" s="640">
        <f>A2.7.2!J16/A2.7.2!J$29</f>
        <v>2.3544302460377024E-2</v>
      </c>
      <c r="K16" s="639">
        <f>A2.7.2!K16/A2.7.2!K$29</f>
        <v>3.6614084448077004E-2</v>
      </c>
      <c r="L16" s="640">
        <f>A2.7.2!L16/A2.7.2!L$29</f>
        <v>1.9790239390585808E-2</v>
      </c>
    </row>
    <row r="17" spans="1:12" customFormat="1" ht="13.35" customHeight="1" x14ac:dyDescent="0.2">
      <c r="A17" s="1"/>
      <c r="B17" s="631"/>
      <c r="C17" s="16" t="s">
        <v>31</v>
      </c>
      <c r="D17" s="338" t="s">
        <v>55</v>
      </c>
      <c r="E17" s="639">
        <f>A2.7.2!E17/A2.7.2!E$29</f>
        <v>6.1086206724656603E-2</v>
      </c>
      <c r="F17" s="640">
        <f>A2.7.2!F17/A2.7.2!F$29</f>
        <v>4.6615011564854779E-2</v>
      </c>
      <c r="G17" s="639">
        <f>A2.7.2!G17/A2.7.2!G$29</f>
        <v>4.5979890188872177E-2</v>
      </c>
      <c r="H17" s="640">
        <f>A2.7.2!H17/A2.7.2!H$29</f>
        <v>3.1231124103233938E-2</v>
      </c>
      <c r="I17" s="639">
        <f>A2.7.2!I17/A2.7.2!I$29</f>
        <v>4.7226842634966328E-2</v>
      </c>
      <c r="J17" s="640">
        <f>A2.7.2!J17/A2.7.2!J$29</f>
        <v>2.9643001956559414E-2</v>
      </c>
      <c r="K17" s="639">
        <f>A2.7.2!K17/A2.7.2!K$29</f>
        <v>3.8921910695544862E-2</v>
      </c>
      <c r="L17" s="640">
        <f>A2.7.2!L17/A2.7.2!L$29</f>
        <v>2.2950588503394615E-2</v>
      </c>
    </row>
    <row r="18" spans="1:12" customFormat="1" ht="13.35" customHeight="1" x14ac:dyDescent="0.2">
      <c r="A18" s="1"/>
      <c r="B18" s="631"/>
      <c r="C18" s="16" t="s">
        <v>32</v>
      </c>
      <c r="D18" s="338" t="s">
        <v>56</v>
      </c>
      <c r="E18" s="639">
        <f>A2.7.2!E18/A2.7.2!E$29</f>
        <v>6.7905630012179044E-2</v>
      </c>
      <c r="F18" s="640">
        <f>A2.7.2!F18/A2.7.2!F$29</f>
        <v>5.5623930530759667E-2</v>
      </c>
      <c r="G18" s="639">
        <f>A2.7.2!G18/A2.7.2!G$29</f>
        <v>4.3435907695423548E-2</v>
      </c>
      <c r="H18" s="640">
        <f>A2.7.2!H18/A2.7.2!H$29</f>
        <v>3.2102922508540903E-2</v>
      </c>
      <c r="I18" s="639">
        <f>A2.7.2!I18/A2.7.2!I$29</f>
        <v>4.2347878296891919E-2</v>
      </c>
      <c r="J18" s="640">
        <f>A2.7.2!J18/A2.7.2!J$29</f>
        <v>2.8660821254095473E-2</v>
      </c>
      <c r="K18" s="639">
        <f>A2.7.2!K18/A2.7.2!K$29</f>
        <v>4.9020969772281153E-2</v>
      </c>
      <c r="L18" s="640">
        <f>A2.7.2!L18/A2.7.2!L$29</f>
        <v>3.1128379340513147E-2</v>
      </c>
    </row>
    <row r="19" spans="1:12" customFormat="1" ht="13.35" customHeight="1" x14ac:dyDescent="0.2">
      <c r="A19" s="1"/>
      <c r="B19" s="631"/>
      <c r="C19" s="16" t="s">
        <v>33</v>
      </c>
      <c r="D19" s="338" t="s">
        <v>57</v>
      </c>
      <c r="E19" s="639">
        <f>A2.7.2!E19/A2.7.2!E$29</f>
        <v>5.106906371459171E-2</v>
      </c>
      <c r="F19" s="640">
        <f>A2.7.2!F19/A2.7.2!F$29</f>
        <v>4.3343802058322681E-2</v>
      </c>
      <c r="G19" s="639">
        <f>A2.7.2!G19/A2.7.2!G$29</f>
        <v>5.1945158653121812E-2</v>
      </c>
      <c r="H19" s="640">
        <f>A2.7.2!H19/A2.7.2!H$29</f>
        <v>4.2794804379233921E-2</v>
      </c>
      <c r="I19" s="639">
        <f>A2.7.2!I19/A2.7.2!I$29</f>
        <v>4.1058471921775697E-2</v>
      </c>
      <c r="J19" s="640">
        <f>A2.7.2!J19/A2.7.2!J$29</f>
        <v>3.0380673988891355E-2</v>
      </c>
      <c r="K19" s="639">
        <f>A2.7.2!K19/A2.7.2!K$29</f>
        <v>4.1012798421296515E-2</v>
      </c>
      <c r="L19" s="640">
        <f>A2.7.2!L19/A2.7.2!L$29</f>
        <v>2.7820503470324685E-2</v>
      </c>
    </row>
    <row r="20" spans="1:12" customFormat="1" ht="13.35" customHeight="1" x14ac:dyDescent="0.2">
      <c r="A20" s="1"/>
      <c r="B20" s="631"/>
      <c r="C20" s="16" t="s">
        <v>34</v>
      </c>
      <c r="D20" s="338" t="s">
        <v>58</v>
      </c>
      <c r="E20" s="639">
        <f>A2.7.2!E20/A2.7.2!E$29</f>
        <v>0.19391960993486496</v>
      </c>
      <c r="F20" s="640">
        <f>A2.7.2!F20/A2.7.2!F$29</f>
        <v>0.19079662533857319</v>
      </c>
      <c r="G20" s="639">
        <f>A2.7.2!G20/A2.7.2!G$29</f>
        <v>0.2181487217105442</v>
      </c>
      <c r="H20" s="640">
        <f>A2.7.2!H20/A2.7.2!H$29</f>
        <v>0.20888687529757549</v>
      </c>
      <c r="I20" s="639">
        <f>A2.7.2!I20/A2.7.2!I$29</f>
        <v>0.2163483130466092</v>
      </c>
      <c r="J20" s="640">
        <f>A2.7.2!J20/A2.7.2!J$29</f>
        <v>0.19458336758807054</v>
      </c>
      <c r="K20" s="639">
        <f>A2.7.2!K20/A2.7.2!K$29</f>
        <v>0.19991312944283907</v>
      </c>
      <c r="L20" s="640">
        <f>A2.7.2!L20/A2.7.2!L$29</f>
        <v>0.17082690801715752</v>
      </c>
    </row>
    <row r="21" spans="1:12" customFormat="1" ht="13.35" customHeight="1" x14ac:dyDescent="0.2">
      <c r="A21" s="1"/>
      <c r="B21" s="631"/>
      <c r="C21" s="16" t="s">
        <v>35</v>
      </c>
      <c r="D21" s="338" t="s">
        <v>59</v>
      </c>
      <c r="E21" s="639">
        <f>A2.7.2!E21/A2.7.2!E$29</f>
        <v>0.15028653016975621</v>
      </c>
      <c r="F21" s="640">
        <f>A2.7.2!F21/A2.7.2!F$29</f>
        <v>0.18605393337471304</v>
      </c>
      <c r="G21" s="639">
        <f>A2.7.2!G21/A2.7.2!G$29</f>
        <v>0.17191097543204478</v>
      </c>
      <c r="H21" s="640">
        <f>A2.7.2!H21/A2.7.2!H$29</f>
        <v>0.21092677236462828</v>
      </c>
      <c r="I21" s="639">
        <f>A2.7.2!I21/A2.7.2!I$29</f>
        <v>0.19948452472950237</v>
      </c>
      <c r="J21" s="640">
        <f>A2.7.2!J21/A2.7.2!J$29</f>
        <v>0.23346627178588553</v>
      </c>
      <c r="K21" s="639">
        <f>A2.7.2!K21/A2.7.2!K$29</f>
        <v>0.22434868490536056</v>
      </c>
      <c r="L21" s="640">
        <f>A2.7.2!L21/A2.7.2!L$29</f>
        <v>0.2515348913942968</v>
      </c>
    </row>
    <row r="22" spans="1:12" customFormat="1" ht="13.35" customHeight="1" x14ac:dyDescent="0.2">
      <c r="A22" s="1"/>
      <c r="B22" s="631"/>
      <c r="C22" s="16" t="s">
        <v>36</v>
      </c>
      <c r="D22" s="338" t="s">
        <v>60</v>
      </c>
      <c r="E22" s="639">
        <f>A2.7.2!E22/A2.7.2!E$29</f>
        <v>6.4016312883284285E-2</v>
      </c>
      <c r="F22" s="640">
        <f>A2.7.2!F22/A2.7.2!F$29</f>
        <v>0.10054508865611038</v>
      </c>
      <c r="G22" s="639">
        <f>A2.7.2!G22/A2.7.2!G$29</f>
        <v>6.7009486831803244E-2</v>
      </c>
      <c r="H22" s="640">
        <f>A2.7.2!H22/A2.7.2!H$29</f>
        <v>0.1064351545903717</v>
      </c>
      <c r="I22" s="639">
        <f>A2.7.2!I22/A2.7.2!I$29</f>
        <v>7.7632031286658063E-2</v>
      </c>
      <c r="J22" s="640">
        <f>A2.7.2!J22/A2.7.2!J$29</f>
        <v>0.1175912806372295</v>
      </c>
      <c r="K22" s="639">
        <f>A2.7.2!K22/A2.7.2!K$29</f>
        <v>8.4386706235745568E-2</v>
      </c>
      <c r="L22" s="640">
        <f>A2.7.2!L22/A2.7.2!L$29</f>
        <v>0.1227312424190467</v>
      </c>
    </row>
    <row r="23" spans="1:12" customFormat="1" ht="13.35" customHeight="1" x14ac:dyDescent="0.2">
      <c r="A23" s="1"/>
      <c r="B23" s="631"/>
      <c r="C23" s="16" t="s">
        <v>37</v>
      </c>
      <c r="D23" s="338" t="s">
        <v>61</v>
      </c>
      <c r="E23" s="639">
        <f>A2.7.2!E23/A2.7.2!E$29</f>
        <v>3.292906194099593E-2</v>
      </c>
      <c r="F23" s="640">
        <f>A2.7.2!F23/A2.7.2!F$29</f>
        <v>6.3249226762173122E-2</v>
      </c>
      <c r="G23" s="639">
        <f>A2.7.2!G23/A2.7.2!G$29</f>
        <v>3.1667395283011879E-2</v>
      </c>
      <c r="H23" s="640">
        <f>A2.7.2!H23/A2.7.2!H$29</f>
        <v>6.1056946102403524E-2</v>
      </c>
      <c r="I23" s="639">
        <f>A2.7.2!I23/A2.7.2!I$29</f>
        <v>3.7001127093430015E-2</v>
      </c>
      <c r="J23" s="640">
        <f>A2.7.2!J23/A2.7.2!J$29</f>
        <v>6.6808572596550195E-2</v>
      </c>
      <c r="K23" s="639">
        <f>A2.7.2!K23/A2.7.2!K$29</f>
        <v>4.2712625917112355E-2</v>
      </c>
      <c r="L23" s="640">
        <f>A2.7.2!L23/A2.7.2!L$29</f>
        <v>7.4118669583806834E-2</v>
      </c>
    </row>
    <row r="24" spans="1:12" customFormat="1" ht="13.35" customHeight="1" x14ac:dyDescent="0.2">
      <c r="A24" s="1"/>
      <c r="B24" s="631"/>
      <c r="C24" s="16" t="s">
        <v>38</v>
      </c>
      <c r="D24" s="338" t="s">
        <v>62</v>
      </c>
      <c r="E24" s="639">
        <f>A2.7.2!E24/A2.7.2!E$29</f>
        <v>3.1274055704550427E-2</v>
      </c>
      <c r="F24" s="640">
        <f>A2.7.2!F24/A2.7.2!F$29</f>
        <v>7.4580796043624983E-2</v>
      </c>
      <c r="G24" s="639">
        <f>A2.7.2!G24/A2.7.2!G$29</f>
        <v>3.3468436092936864E-2</v>
      </c>
      <c r="H24" s="640">
        <f>A2.7.2!H24/A2.7.2!H$29</f>
        <v>8.2763829735950423E-2</v>
      </c>
      <c r="I24" s="639">
        <f>A2.7.2!I24/A2.7.2!I$29</f>
        <v>3.9483222395547551E-2</v>
      </c>
      <c r="J24" s="640">
        <f>A2.7.2!J24/A2.7.2!J$29</f>
        <v>9.1389840371743775E-2</v>
      </c>
      <c r="K24" s="639">
        <f>A2.7.2!K24/A2.7.2!K$29</f>
        <v>4.3724054200376977E-2</v>
      </c>
      <c r="L24" s="640">
        <f>A2.7.2!L24/A2.7.2!L$29</f>
        <v>9.5686399118847923E-2</v>
      </c>
    </row>
    <row r="25" spans="1:12" customFormat="1" ht="13.35" customHeight="1" x14ac:dyDescent="0.2">
      <c r="A25" s="1"/>
      <c r="B25" s="631"/>
      <c r="C25" s="16" t="s">
        <v>39</v>
      </c>
      <c r="D25" s="338" t="s">
        <v>63</v>
      </c>
      <c r="E25" s="639">
        <f>A2.7.2!E25/A2.7.2!E$29</f>
        <v>9.4352146916698194E-3</v>
      </c>
      <c r="F25" s="640">
        <f>A2.7.2!F25/A2.7.2!F$29</f>
        <v>2.8038111744814034E-2</v>
      </c>
      <c r="G25" s="639">
        <f>A2.7.2!G25/A2.7.2!G$29</f>
        <v>9.2428070747412171E-3</v>
      </c>
      <c r="H25" s="640">
        <f>A2.7.2!H25/A2.7.2!H$29</f>
        <v>3.0586347339506725E-2</v>
      </c>
      <c r="I25" s="639">
        <f>A2.7.2!I25/A2.7.2!I$29</f>
        <v>1.1465326794850801E-2</v>
      </c>
      <c r="J25" s="640">
        <f>A2.7.2!J25/A2.7.2!J$29</f>
        <v>3.5379036469392937E-2</v>
      </c>
      <c r="K25" s="639">
        <f>A2.7.2!K25/A2.7.2!K$29</f>
        <v>1.3748478813764939E-2</v>
      </c>
      <c r="L25" s="640">
        <f>A2.7.2!L25/A2.7.2!L$29</f>
        <v>4.0016341928129882E-2</v>
      </c>
    </row>
    <row r="26" spans="1:12" customFormat="1" ht="13.35" customHeight="1" x14ac:dyDescent="0.2">
      <c r="A26" s="1"/>
      <c r="B26" s="631"/>
      <c r="C26" s="16" t="s">
        <v>40</v>
      </c>
      <c r="D26" s="338" t="s">
        <v>64</v>
      </c>
      <c r="E26" s="639">
        <f>A2.7.2!E26/A2.7.2!E$29</f>
        <v>8.3568894488367466E-3</v>
      </c>
      <c r="F26" s="640">
        <f>A2.7.2!F26/A2.7.2!F$29</f>
        <v>3.1451099897689606E-2</v>
      </c>
      <c r="G26" s="639">
        <f>A2.7.2!G26/A2.7.2!G$29</f>
        <v>7.1863800611049779E-3</v>
      </c>
      <c r="H26" s="640">
        <f>A2.7.2!H26/A2.7.2!H$29</f>
        <v>3.1808839293305073E-2</v>
      </c>
      <c r="I26" s="639">
        <f>A2.7.2!I26/A2.7.2!I$29</f>
        <v>9.1081980964857097E-3</v>
      </c>
      <c r="J26" s="640">
        <f>A2.7.2!J26/A2.7.2!J$29</f>
        <v>3.8081783749163226E-2</v>
      </c>
      <c r="K26" s="639">
        <f>A2.7.2!K26/A2.7.2!K$29</f>
        <v>1.0697542980944615E-2</v>
      </c>
      <c r="L26" s="640">
        <f>A2.7.2!L26/A2.7.2!L$29</f>
        <v>4.356375291551487E-2</v>
      </c>
    </row>
    <row r="27" spans="1:12" customFormat="1" ht="13.35" customHeight="1" x14ac:dyDescent="0.2">
      <c r="A27" s="1"/>
      <c r="B27" s="631"/>
      <c r="C27" s="16" t="s">
        <v>41</v>
      </c>
      <c r="D27" s="338" t="s">
        <v>65</v>
      </c>
      <c r="E27" s="639">
        <f>A2.7.2!E27/A2.7.2!E$29</f>
        <v>2.105226702796247E-3</v>
      </c>
      <c r="F27" s="640">
        <f>A2.7.2!F27/A2.7.2!F$29</f>
        <v>1.2400932545109536E-2</v>
      </c>
      <c r="G27" s="639">
        <f>A2.7.2!G27/A2.7.2!G$29</f>
        <v>1.7373177532929755E-3</v>
      </c>
      <c r="H27" s="640">
        <f>A2.7.2!H27/A2.7.2!H$29</f>
        <v>1.1288900048200077E-2</v>
      </c>
      <c r="I27" s="639">
        <f>A2.7.2!I27/A2.7.2!I$29</f>
        <v>2.2182769164179306E-3</v>
      </c>
      <c r="J27" s="640">
        <f>A2.7.2!J27/A2.7.2!J$29</f>
        <v>1.364896353685963E-2</v>
      </c>
      <c r="K27" s="639">
        <f>A2.7.2!K27/A2.7.2!K$29</f>
        <v>2.2864178407195506E-3</v>
      </c>
      <c r="L27" s="640">
        <f>A2.7.2!L27/A2.7.2!L$29</f>
        <v>1.4584287033657533E-2</v>
      </c>
    </row>
    <row r="28" spans="1:12" customFormat="1" ht="13.35" customHeight="1" x14ac:dyDescent="0.2">
      <c r="A28" s="1"/>
      <c r="B28" s="632"/>
      <c r="C28" s="280" t="s">
        <v>42</v>
      </c>
      <c r="D28" s="434" t="s">
        <v>66</v>
      </c>
      <c r="E28" s="641">
        <f>A2.7.2!E28/A2.7.2!E$29</f>
        <v>4.0246981082869425E-4</v>
      </c>
      <c r="F28" s="642">
        <f>A2.7.2!F28/A2.7.2!F$29</f>
        <v>4.092070135594152E-3</v>
      </c>
      <c r="G28" s="641">
        <f>A2.7.2!G28/A2.7.2!G$29</f>
        <v>2.7959108568775207E-4</v>
      </c>
      <c r="H28" s="642">
        <f>A2.7.2!H28/A2.7.2!H$29</f>
        <v>2.9249804467088051E-3</v>
      </c>
      <c r="I28" s="641">
        <f>A2.7.2!I28/A2.7.2!I$29</f>
        <v>3.5431144358930901E-4</v>
      </c>
      <c r="J28" s="642">
        <f>A2.7.2!J28/A2.7.2!J$29</f>
        <v>3.4959145335994135E-3</v>
      </c>
      <c r="K28" s="641">
        <f>A2.7.2!K28/A2.7.2!K$29</f>
        <v>3.9439042654109606E-4</v>
      </c>
      <c r="L28" s="642">
        <f>A2.7.2!L28/A2.7.2!L$29</f>
        <v>3.9289696011704104E-3</v>
      </c>
    </row>
    <row r="29" spans="1:12" customFormat="1" ht="13.35" customHeight="1" x14ac:dyDescent="0.2">
      <c r="A29" s="1"/>
      <c r="B29" s="632"/>
      <c r="C29" s="635" t="s">
        <v>8</v>
      </c>
      <c r="D29" s="636"/>
      <c r="E29" s="643">
        <f>A2.7.2!E29/A2.7.2!E$29</f>
        <v>1</v>
      </c>
      <c r="F29" s="644">
        <f>A2.7.2!F29/A2.7.2!F$29</f>
        <v>1</v>
      </c>
      <c r="G29" s="643">
        <f>A2.7.2!G29/A2.7.2!G$29</f>
        <v>1</v>
      </c>
      <c r="H29" s="644">
        <f>A2.7.2!H29/A2.7.2!H$29</f>
        <v>1</v>
      </c>
      <c r="I29" s="643">
        <f>A2.7.2!I29/A2.7.2!I$29</f>
        <v>1</v>
      </c>
      <c r="J29" s="644">
        <f>A2.7.2!J29/A2.7.2!J$29</f>
        <v>1</v>
      </c>
      <c r="K29" s="643">
        <f>A2.7.2!K29/A2.7.2!K$29</f>
        <v>1</v>
      </c>
      <c r="L29" s="644">
        <f>A2.7.2!L29/A2.7.2!L$29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525</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54">
        <v>5083</v>
      </c>
      <c r="F4" s="655">
        <v>24.005721000000001</v>
      </c>
      <c r="G4" s="654">
        <v>4864</v>
      </c>
      <c r="H4" s="655">
        <v>21.982323000000001</v>
      </c>
      <c r="I4" s="654">
        <v>4658</v>
      </c>
      <c r="J4" s="655">
        <v>22.325507999999999</v>
      </c>
      <c r="K4" s="654">
        <v>4257</v>
      </c>
      <c r="L4" s="655">
        <v>20.216640000000002</v>
      </c>
    </row>
    <row r="5" spans="1:12" ht="13.35" customHeight="1" x14ac:dyDescent="0.2">
      <c r="B5" s="145"/>
      <c r="C5" s="16" t="s">
        <v>19</v>
      </c>
      <c r="D5" s="339" t="s">
        <v>129</v>
      </c>
      <c r="E5" s="654">
        <v>1144</v>
      </c>
      <c r="F5" s="655">
        <v>2.3104439999999999</v>
      </c>
      <c r="G5" s="654">
        <v>1147</v>
      </c>
      <c r="H5" s="655">
        <v>2.110449</v>
      </c>
      <c r="I5" s="654">
        <v>972</v>
      </c>
      <c r="J5" s="655">
        <v>1.780176</v>
      </c>
      <c r="K5" s="654">
        <v>833</v>
      </c>
      <c r="L5" s="655">
        <v>1.565993</v>
      </c>
    </row>
    <row r="6" spans="1:12" ht="13.35" customHeight="1" x14ac:dyDescent="0.2">
      <c r="B6" s="145"/>
      <c r="C6" s="16" t="s">
        <v>20</v>
      </c>
      <c r="D6" s="338" t="s">
        <v>44</v>
      </c>
      <c r="E6" s="654">
        <v>15287</v>
      </c>
      <c r="F6" s="655">
        <v>56.073459</v>
      </c>
      <c r="G6" s="654">
        <v>14498</v>
      </c>
      <c r="H6" s="655">
        <v>53.527363999999999</v>
      </c>
      <c r="I6" s="654">
        <v>12475</v>
      </c>
      <c r="J6" s="655">
        <v>48.431280999999998</v>
      </c>
      <c r="K6" s="654">
        <v>10694</v>
      </c>
      <c r="L6" s="655">
        <v>41.977127000000003</v>
      </c>
    </row>
    <row r="7" spans="1:12" ht="13.35" customHeight="1" x14ac:dyDescent="0.2">
      <c r="B7" s="145"/>
      <c r="C7" s="16" t="s">
        <v>21</v>
      </c>
      <c r="D7" s="338" t="s">
        <v>45</v>
      </c>
      <c r="E7" s="654">
        <v>11780</v>
      </c>
      <c r="F7" s="655">
        <v>51.253995000000003</v>
      </c>
      <c r="G7" s="654">
        <v>10354</v>
      </c>
      <c r="H7" s="655">
        <v>45.563437</v>
      </c>
      <c r="I7" s="654">
        <v>8762</v>
      </c>
      <c r="J7" s="655">
        <v>40.075726000000003</v>
      </c>
      <c r="K7" s="654">
        <v>7230</v>
      </c>
      <c r="L7" s="655">
        <v>33.327207999999999</v>
      </c>
    </row>
    <row r="8" spans="1:12" ht="13.35" customHeight="1" x14ac:dyDescent="0.2">
      <c r="B8" s="145"/>
      <c r="C8" s="16" t="s">
        <v>22</v>
      </c>
      <c r="D8" s="338" t="s">
        <v>46</v>
      </c>
      <c r="E8" s="654">
        <v>15939</v>
      </c>
      <c r="F8" s="655">
        <v>77.918837999999994</v>
      </c>
      <c r="G8" s="654">
        <v>13231</v>
      </c>
      <c r="H8" s="655">
        <v>66.928764000000001</v>
      </c>
      <c r="I8" s="654">
        <v>11330</v>
      </c>
      <c r="J8" s="655">
        <v>59.525042999999997</v>
      </c>
      <c r="K8" s="654">
        <v>9175</v>
      </c>
      <c r="L8" s="655">
        <v>48.174219000000001</v>
      </c>
    </row>
    <row r="9" spans="1:12" ht="13.35" customHeight="1" x14ac:dyDescent="0.2">
      <c r="B9" s="145"/>
      <c r="C9" s="16" t="s">
        <v>23</v>
      </c>
      <c r="D9" s="338" t="s">
        <v>47</v>
      </c>
      <c r="E9" s="654">
        <v>25539</v>
      </c>
      <c r="F9" s="655">
        <v>120.996639</v>
      </c>
      <c r="G9" s="654">
        <v>18657</v>
      </c>
      <c r="H9" s="655">
        <v>98.952646999999999</v>
      </c>
      <c r="I9" s="654">
        <v>15205</v>
      </c>
      <c r="J9" s="655">
        <v>86.289625000000001</v>
      </c>
      <c r="K9" s="654">
        <v>11902</v>
      </c>
      <c r="L9" s="655">
        <v>66.804912000000002</v>
      </c>
    </row>
    <row r="10" spans="1:12" s="50" customFormat="1" ht="13.35" customHeight="1" x14ac:dyDescent="0.2">
      <c r="B10" s="145"/>
      <c r="C10" s="16" t="s">
        <v>24</v>
      </c>
      <c r="D10" s="338" t="s">
        <v>48</v>
      </c>
      <c r="E10" s="654">
        <v>32305</v>
      </c>
      <c r="F10" s="655">
        <v>133.10495299999999</v>
      </c>
      <c r="G10" s="654">
        <v>29401</v>
      </c>
      <c r="H10" s="655">
        <v>141.21615299999999</v>
      </c>
      <c r="I10" s="654">
        <v>23719</v>
      </c>
      <c r="J10" s="655">
        <v>129.32072500000001</v>
      </c>
      <c r="K10" s="654">
        <v>18930</v>
      </c>
      <c r="L10" s="655">
        <v>111.01519999999999</v>
      </c>
    </row>
    <row r="11" spans="1:12" s="1" customFormat="1" ht="13.35" customHeight="1" x14ac:dyDescent="0.2">
      <c r="B11" s="631"/>
      <c r="C11" s="16" t="s">
        <v>25</v>
      </c>
      <c r="D11" s="338" t="s">
        <v>49</v>
      </c>
      <c r="E11" s="654">
        <v>33190</v>
      </c>
      <c r="F11" s="655">
        <v>141.60078799999999</v>
      </c>
      <c r="G11" s="654">
        <v>37057</v>
      </c>
      <c r="H11" s="655">
        <v>150.44420400000001</v>
      </c>
      <c r="I11" s="654">
        <v>30949</v>
      </c>
      <c r="J11" s="655">
        <v>147.539748</v>
      </c>
      <c r="K11" s="654">
        <v>23645</v>
      </c>
      <c r="L11" s="655">
        <v>122.15578499999999</v>
      </c>
    </row>
    <row r="12" spans="1:12" s="1" customFormat="1" ht="13.35" customHeight="1" x14ac:dyDescent="0.2">
      <c r="B12" s="631"/>
      <c r="C12" s="16" t="s">
        <v>26</v>
      </c>
      <c r="D12" s="338" t="s">
        <v>50</v>
      </c>
      <c r="E12" s="654">
        <v>33456</v>
      </c>
      <c r="F12" s="655">
        <v>149.187837</v>
      </c>
      <c r="G12" s="654">
        <v>34535</v>
      </c>
      <c r="H12" s="655">
        <v>152.98622700000001</v>
      </c>
      <c r="I12" s="654">
        <v>38667</v>
      </c>
      <c r="J12" s="655">
        <v>171.132971</v>
      </c>
      <c r="K12" s="654">
        <v>34219</v>
      </c>
      <c r="L12" s="655">
        <v>156.808279</v>
      </c>
    </row>
    <row r="13" spans="1:12" s="1" customFormat="1" ht="13.35" customHeight="1" x14ac:dyDescent="0.2">
      <c r="B13" s="631"/>
      <c r="C13" s="16" t="s">
        <v>27</v>
      </c>
      <c r="D13" s="338" t="s">
        <v>51</v>
      </c>
      <c r="E13" s="654">
        <v>35376</v>
      </c>
      <c r="F13" s="655">
        <v>159.08324999999999</v>
      </c>
      <c r="G13" s="654">
        <v>34322</v>
      </c>
      <c r="H13" s="655">
        <v>159.37016700000001</v>
      </c>
      <c r="I13" s="654">
        <v>34194</v>
      </c>
      <c r="J13" s="655">
        <v>168.10325700000001</v>
      </c>
      <c r="K13" s="654">
        <v>38032</v>
      </c>
      <c r="L13" s="655">
        <v>173.23293200000001</v>
      </c>
    </row>
    <row r="14" spans="1:12" s="1" customFormat="1" ht="13.35" customHeight="1" x14ac:dyDescent="0.2">
      <c r="B14" s="631"/>
      <c r="C14" s="16" t="s">
        <v>28</v>
      </c>
      <c r="D14" s="338" t="s">
        <v>52</v>
      </c>
      <c r="E14" s="654">
        <v>41445</v>
      </c>
      <c r="F14" s="655">
        <v>176.87299100000001</v>
      </c>
      <c r="G14" s="654">
        <v>35732</v>
      </c>
      <c r="H14" s="655">
        <v>167.27662799999999</v>
      </c>
      <c r="I14" s="654">
        <v>33298</v>
      </c>
      <c r="J14" s="655">
        <v>169.96408500000001</v>
      </c>
      <c r="K14" s="654">
        <v>34500</v>
      </c>
      <c r="L14" s="655">
        <v>169.81170399999999</v>
      </c>
    </row>
    <row r="15" spans="1:12" customFormat="1" ht="13.35" customHeight="1" x14ac:dyDescent="0.2">
      <c r="A15" s="1"/>
      <c r="B15" s="631"/>
      <c r="C15" s="16" t="s">
        <v>29</v>
      </c>
      <c r="D15" s="338" t="s">
        <v>53</v>
      </c>
      <c r="E15" s="654">
        <v>49125</v>
      </c>
      <c r="F15" s="655">
        <v>201.644116</v>
      </c>
      <c r="G15" s="654">
        <v>39800</v>
      </c>
      <c r="H15" s="655">
        <v>187.263137</v>
      </c>
      <c r="I15" s="654">
        <v>35713</v>
      </c>
      <c r="J15" s="655">
        <v>185.52809600000001</v>
      </c>
      <c r="K15" s="654">
        <v>33629</v>
      </c>
      <c r="L15" s="655">
        <v>177.884095</v>
      </c>
    </row>
    <row r="16" spans="1:12" customFormat="1" ht="13.35" customHeight="1" x14ac:dyDescent="0.2">
      <c r="A16" s="1"/>
      <c r="B16" s="631"/>
      <c r="C16" s="16" t="s">
        <v>30</v>
      </c>
      <c r="D16" s="338" t="s">
        <v>54</v>
      </c>
      <c r="E16" s="654">
        <v>47884</v>
      </c>
      <c r="F16" s="655">
        <v>204.18506400000001</v>
      </c>
      <c r="G16" s="654">
        <v>46355</v>
      </c>
      <c r="H16" s="655">
        <v>201.24612400000001</v>
      </c>
      <c r="I16" s="654">
        <v>39489</v>
      </c>
      <c r="J16" s="655">
        <v>199.82571200000001</v>
      </c>
      <c r="K16" s="654">
        <v>35173</v>
      </c>
      <c r="L16" s="655">
        <v>182.36949899999999</v>
      </c>
    </row>
    <row r="17" spans="1:12" customFormat="1" ht="13.35" customHeight="1" x14ac:dyDescent="0.2">
      <c r="A17" s="1"/>
      <c r="B17" s="631"/>
      <c r="C17" s="16" t="s">
        <v>31</v>
      </c>
      <c r="D17" s="338" t="s">
        <v>55</v>
      </c>
      <c r="E17" s="654">
        <v>65211</v>
      </c>
      <c r="F17" s="655">
        <v>249.14511999999999</v>
      </c>
      <c r="G17" s="654">
        <v>45368</v>
      </c>
      <c r="H17" s="655">
        <v>206.91798800000001</v>
      </c>
      <c r="I17" s="654">
        <v>44528</v>
      </c>
      <c r="J17" s="655">
        <v>215.95566700000001</v>
      </c>
      <c r="K17" s="654">
        <v>38890</v>
      </c>
      <c r="L17" s="655">
        <v>201.08067299999999</v>
      </c>
    </row>
    <row r="18" spans="1:12" customFormat="1" ht="13.35" customHeight="1" x14ac:dyDescent="0.2">
      <c r="A18" s="1"/>
      <c r="B18" s="631"/>
      <c r="C18" s="16" t="s">
        <v>32</v>
      </c>
      <c r="D18" s="338" t="s">
        <v>56</v>
      </c>
      <c r="E18" s="654">
        <v>73845</v>
      </c>
      <c r="F18" s="655">
        <v>277.01969100000002</v>
      </c>
      <c r="G18" s="654">
        <v>44588</v>
      </c>
      <c r="H18" s="655">
        <v>211.71631199999999</v>
      </c>
      <c r="I18" s="654">
        <v>41768</v>
      </c>
      <c r="J18" s="655">
        <v>215.845463</v>
      </c>
      <c r="K18" s="654">
        <v>46496</v>
      </c>
      <c r="L18" s="655">
        <v>225.455727</v>
      </c>
    </row>
    <row r="19" spans="1:12" customFormat="1" ht="13.35" customHeight="1" x14ac:dyDescent="0.2">
      <c r="A19" s="1"/>
      <c r="B19" s="631"/>
      <c r="C19" s="16" t="s">
        <v>33</v>
      </c>
      <c r="D19" s="338" t="s">
        <v>57</v>
      </c>
      <c r="E19" s="654">
        <v>55987</v>
      </c>
      <c r="F19" s="655">
        <v>246.10157000000001</v>
      </c>
      <c r="G19" s="654">
        <v>60266</v>
      </c>
      <c r="H19" s="655">
        <v>253.22055499999999</v>
      </c>
      <c r="I19" s="654">
        <v>42943</v>
      </c>
      <c r="J19" s="655">
        <v>227.14683299999999</v>
      </c>
      <c r="K19" s="654">
        <v>41664</v>
      </c>
      <c r="L19" s="655">
        <v>219.62932000000001</v>
      </c>
    </row>
    <row r="20" spans="1:12" customFormat="1" ht="13.35" customHeight="1" x14ac:dyDescent="0.2">
      <c r="A20" s="1"/>
      <c r="B20" s="631"/>
      <c r="C20" s="16" t="s">
        <v>34</v>
      </c>
      <c r="D20" s="338" t="s">
        <v>58</v>
      </c>
      <c r="E20" s="654">
        <v>233860</v>
      </c>
      <c r="F20" s="655">
        <v>1168.3027999999999</v>
      </c>
      <c r="G20" s="654">
        <v>270715</v>
      </c>
      <c r="H20" s="655">
        <v>1275.927944</v>
      </c>
      <c r="I20" s="654">
        <v>270533</v>
      </c>
      <c r="J20" s="655">
        <v>1417.6443420000001</v>
      </c>
      <c r="K20" s="654">
        <v>254094</v>
      </c>
      <c r="L20" s="655">
        <v>1358.639273</v>
      </c>
    </row>
    <row r="21" spans="1:12" customFormat="1" ht="13.35" customHeight="1" x14ac:dyDescent="0.2">
      <c r="A21" s="1"/>
      <c r="B21" s="631"/>
      <c r="C21" s="16" t="s">
        <v>35</v>
      </c>
      <c r="D21" s="338" t="s">
        <v>59</v>
      </c>
      <c r="E21" s="654">
        <v>213603</v>
      </c>
      <c r="F21" s="655">
        <v>1598.048311</v>
      </c>
      <c r="G21" s="654">
        <v>249255</v>
      </c>
      <c r="H21" s="655">
        <v>1780.901834</v>
      </c>
      <c r="I21" s="654">
        <v>291699</v>
      </c>
      <c r="J21" s="655">
        <v>2079.7660879999999</v>
      </c>
      <c r="K21" s="654">
        <v>328261</v>
      </c>
      <c r="L21" s="655">
        <v>2278.5990270000002</v>
      </c>
    </row>
    <row r="22" spans="1:12" customFormat="1" ht="13.35" customHeight="1" x14ac:dyDescent="0.2">
      <c r="A22" s="1"/>
      <c r="B22" s="631"/>
      <c r="C22" s="16" t="s">
        <v>36</v>
      </c>
      <c r="D22" s="338" t="s">
        <v>60</v>
      </c>
      <c r="E22" s="654">
        <v>108417</v>
      </c>
      <c r="F22" s="655">
        <v>1150.444663</v>
      </c>
      <c r="G22" s="654">
        <v>117146</v>
      </c>
      <c r="H22" s="655">
        <v>1232.5278530000001</v>
      </c>
      <c r="I22" s="654">
        <v>133292</v>
      </c>
      <c r="J22" s="655">
        <v>1418.271414</v>
      </c>
      <c r="K22" s="654">
        <v>144010</v>
      </c>
      <c r="L22" s="655">
        <v>1524.1469279999999</v>
      </c>
    </row>
    <row r="23" spans="1:12" customFormat="1" ht="13.35" customHeight="1" x14ac:dyDescent="0.2">
      <c r="A23" s="1"/>
      <c r="B23" s="631"/>
      <c r="C23" s="16" t="s">
        <v>37</v>
      </c>
      <c r="D23" s="338" t="s">
        <v>61</v>
      </c>
      <c r="E23" s="654">
        <v>63802</v>
      </c>
      <c r="F23" s="655">
        <v>872.14525600000002</v>
      </c>
      <c r="G23" s="654">
        <v>65684</v>
      </c>
      <c r="H23" s="655">
        <v>926.69496300000003</v>
      </c>
      <c r="I23" s="654">
        <v>73674</v>
      </c>
      <c r="J23" s="655">
        <v>1057.7504489999999</v>
      </c>
      <c r="K23" s="654">
        <v>82190</v>
      </c>
      <c r="L23" s="655">
        <v>1153.8655349999999</v>
      </c>
    </row>
    <row r="24" spans="1:12" customFormat="1" ht="13.35" customHeight="1" x14ac:dyDescent="0.2">
      <c r="A24" s="1"/>
      <c r="B24" s="631"/>
      <c r="C24" s="16" t="s">
        <v>38</v>
      </c>
      <c r="D24" s="338" t="s">
        <v>62</v>
      </c>
      <c r="E24" s="654">
        <v>71089</v>
      </c>
      <c r="F24" s="655">
        <v>1301.7024670000001</v>
      </c>
      <c r="G24" s="654">
        <v>78847</v>
      </c>
      <c r="H24" s="655">
        <v>1476.5234479999999</v>
      </c>
      <c r="I24" s="654">
        <v>91077</v>
      </c>
      <c r="J24" s="655">
        <v>1741.0832640000001</v>
      </c>
      <c r="K24" s="654">
        <v>99659</v>
      </c>
      <c r="L24" s="655">
        <v>1923.2820959999999</v>
      </c>
    </row>
    <row r="25" spans="1:12" customFormat="1" ht="13.35" customHeight="1" x14ac:dyDescent="0.2">
      <c r="A25" s="1"/>
      <c r="B25" s="631"/>
      <c r="C25" s="16" t="s">
        <v>39</v>
      </c>
      <c r="D25" s="338" t="s">
        <v>63</v>
      </c>
      <c r="E25" s="654">
        <v>25544</v>
      </c>
      <c r="F25" s="655">
        <v>652.34846900000002</v>
      </c>
      <c r="G25" s="654">
        <v>27313</v>
      </c>
      <c r="H25" s="655">
        <v>753.64566300000001</v>
      </c>
      <c r="I25" s="654">
        <v>32784</v>
      </c>
      <c r="J25" s="655">
        <v>917.05073500000003</v>
      </c>
      <c r="K25" s="654">
        <v>37286</v>
      </c>
      <c r="L25" s="655">
        <v>1034.4704959999999</v>
      </c>
    </row>
    <row r="26" spans="1:12" customFormat="1" ht="13.35" customHeight="1" x14ac:dyDescent="0.2">
      <c r="A26" s="1"/>
      <c r="B26" s="631"/>
      <c r="C26" s="16" t="s">
        <v>40</v>
      </c>
      <c r="D26" s="338" t="s">
        <v>64</v>
      </c>
      <c r="E26" s="654">
        <v>23599</v>
      </c>
      <c r="F26" s="655">
        <v>844.23591099999999</v>
      </c>
      <c r="G26" s="654">
        <v>24016</v>
      </c>
      <c r="H26" s="655">
        <v>979.48634700000002</v>
      </c>
      <c r="I26" s="654">
        <v>29296</v>
      </c>
      <c r="J26" s="655">
        <v>1242.314725</v>
      </c>
      <c r="K26" s="654">
        <v>33642</v>
      </c>
      <c r="L26" s="655">
        <v>1443.132437</v>
      </c>
    </row>
    <row r="27" spans="1:12" customFormat="1" ht="13.35" customHeight="1" x14ac:dyDescent="0.2">
      <c r="A27" s="1"/>
      <c r="B27" s="631"/>
      <c r="C27" s="16" t="s">
        <v>41</v>
      </c>
      <c r="D27" s="338" t="s">
        <v>65</v>
      </c>
      <c r="E27" s="654">
        <v>6432</v>
      </c>
      <c r="F27" s="655">
        <v>429.25185599999998</v>
      </c>
      <c r="G27" s="654">
        <v>5938</v>
      </c>
      <c r="H27" s="655">
        <v>462.27793700000001</v>
      </c>
      <c r="I27" s="654">
        <v>7274</v>
      </c>
      <c r="J27" s="655">
        <v>581.80376799999999</v>
      </c>
      <c r="K27" s="654">
        <v>8005</v>
      </c>
      <c r="L27" s="655">
        <v>686.90241000000003</v>
      </c>
    </row>
    <row r="28" spans="1:12" customFormat="1" ht="13.35" customHeight="1" x14ac:dyDescent="0.2">
      <c r="A28" s="1"/>
      <c r="B28" s="632"/>
      <c r="C28" s="280" t="s">
        <v>42</v>
      </c>
      <c r="D28" s="434" t="s">
        <v>66</v>
      </c>
      <c r="E28" s="656">
        <v>1120</v>
      </c>
      <c r="F28" s="657">
        <v>165.820009</v>
      </c>
      <c r="G28" s="656">
        <v>963</v>
      </c>
      <c r="H28" s="657">
        <v>193.14569299999999</v>
      </c>
      <c r="I28" s="656">
        <v>1123</v>
      </c>
      <c r="J28" s="657">
        <v>223.45955900000001</v>
      </c>
      <c r="K28" s="656">
        <v>1330</v>
      </c>
      <c r="L28" s="657">
        <v>325.34115500000001</v>
      </c>
    </row>
    <row r="29" spans="1:12" customFormat="1" ht="13.35" customHeight="1" x14ac:dyDescent="0.2">
      <c r="A29" s="1"/>
      <c r="B29" s="632"/>
      <c r="C29" s="635" t="s">
        <v>8</v>
      </c>
      <c r="D29" s="636"/>
      <c r="E29" s="658">
        <f t="shared" ref="E29:L29" si="0">SUM(E4:E28)</f>
        <v>1290062</v>
      </c>
      <c r="F29" s="659">
        <f t="shared" si="0"/>
        <v>10452.804217999999</v>
      </c>
      <c r="G29" s="658">
        <f t="shared" si="0"/>
        <v>1310052</v>
      </c>
      <c r="H29" s="659">
        <f t="shared" si="0"/>
        <v>11201.854161000001</v>
      </c>
      <c r="I29" s="658">
        <f t="shared" si="0"/>
        <v>1349422</v>
      </c>
      <c r="J29" s="659">
        <f t="shared" si="0"/>
        <v>12767.934260000002</v>
      </c>
      <c r="K29" s="658">
        <f t="shared" si="0"/>
        <v>1377746</v>
      </c>
      <c r="L29" s="659">
        <f t="shared" si="0"/>
        <v>13679.888669999998</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A2.7.1!E6-E29</f>
        <v>0</v>
      </c>
      <c r="F34" s="84">
        <f>A2.7.1!F6-F29</f>
        <v>0</v>
      </c>
      <c r="G34" s="84">
        <f>A2.7.1!G6-G29</f>
        <v>0</v>
      </c>
      <c r="H34" s="84">
        <f>A2.7.1!H6-H29</f>
        <v>0</v>
      </c>
      <c r="I34" s="84">
        <f>A2.7.1!I6-I29</f>
        <v>0</v>
      </c>
      <c r="J34" s="84">
        <f>A2.7.1!J6-J29</f>
        <v>0</v>
      </c>
      <c r="K34" s="84">
        <f>A2.7.1!K6-K29</f>
        <v>0</v>
      </c>
      <c r="L34" s="107">
        <f>A2.7.1!L6-L29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39997558519241921"/>
    <pageSetUpPr fitToPage="1"/>
  </sheetPr>
  <dimension ref="A1:K25"/>
  <sheetViews>
    <sheetView showGridLines="0" zoomScaleNormal="100" zoomScaleSheetLayoutView="90" workbookViewId="0"/>
  </sheetViews>
  <sheetFormatPr defaultColWidth="9.140625" defaultRowHeight="12.75" x14ac:dyDescent="0.2"/>
  <cols>
    <col min="1" max="1" width="3.7109375" style="52" customWidth="1"/>
    <col min="2" max="2" width="0.85546875" style="53" customWidth="1"/>
    <col min="3" max="3" width="9.7109375" style="53" customWidth="1"/>
    <col min="4" max="5" width="12.7109375" style="53" customWidth="1"/>
    <col min="6" max="6" width="8.7109375" style="53" customWidth="1"/>
    <col min="7" max="8" width="12.7109375" style="53" customWidth="1"/>
    <col min="9" max="9" width="12.7109375" style="54" customWidth="1"/>
    <col min="10" max="16384" width="9.140625" style="55"/>
  </cols>
  <sheetData>
    <row r="1" spans="1:11" s="52" customFormat="1" ht="15" customHeight="1" x14ac:dyDescent="0.2">
      <c r="B1" s="452" t="s">
        <v>391</v>
      </c>
      <c r="C1" s="318"/>
      <c r="D1" s="73"/>
      <c r="E1" s="73"/>
      <c r="F1" s="73"/>
      <c r="G1" s="73"/>
      <c r="H1" s="73"/>
      <c r="I1" s="60"/>
    </row>
    <row r="2" spans="1:11" s="52" customFormat="1" ht="12.6" customHeight="1" x14ac:dyDescent="0.2">
      <c r="A2" s="319"/>
      <c r="B2" s="454"/>
      <c r="C2" s="992" t="s">
        <v>363</v>
      </c>
      <c r="D2" s="995" t="s">
        <v>180</v>
      </c>
      <c r="E2" s="989" t="s">
        <v>169</v>
      </c>
      <c r="F2" s="998" t="s">
        <v>168</v>
      </c>
      <c r="G2" s="1001" t="s">
        <v>181</v>
      </c>
      <c r="H2" s="1001" t="s">
        <v>86</v>
      </c>
      <c r="I2" s="989" t="s">
        <v>182</v>
      </c>
    </row>
    <row r="3" spans="1:11" s="52" customFormat="1" ht="12.6" customHeight="1" x14ac:dyDescent="0.2">
      <c r="A3" s="319"/>
      <c r="B3" s="455"/>
      <c r="C3" s="993"/>
      <c r="D3" s="996"/>
      <c r="E3" s="990"/>
      <c r="F3" s="999"/>
      <c r="G3" s="1002"/>
      <c r="H3" s="1002"/>
      <c r="I3" s="990"/>
    </row>
    <row r="4" spans="1:11" s="52" customFormat="1" ht="12.6" customHeight="1" x14ac:dyDescent="0.2">
      <c r="A4" s="319"/>
      <c r="B4" s="456"/>
      <c r="C4" s="994"/>
      <c r="D4" s="997"/>
      <c r="E4" s="991"/>
      <c r="F4" s="1000"/>
      <c r="G4" s="1003"/>
      <c r="H4" s="1003"/>
      <c r="I4" s="991"/>
    </row>
    <row r="5" spans="1:11" s="52" customFormat="1" ht="13.35" hidden="1" customHeight="1" x14ac:dyDescent="0.2">
      <c r="A5" s="319"/>
      <c r="B5" s="450"/>
      <c r="C5" s="518">
        <v>39538</v>
      </c>
      <c r="D5" s="519">
        <v>5204805</v>
      </c>
      <c r="E5" s="520"/>
      <c r="F5" s="521">
        <v>2008</v>
      </c>
      <c r="G5" s="522">
        <v>4455081</v>
      </c>
      <c r="H5" s="523"/>
      <c r="I5" s="524"/>
    </row>
    <row r="6" spans="1:11" s="52" customFormat="1" ht="13.35" customHeight="1" x14ac:dyDescent="0.2">
      <c r="A6" s="319"/>
      <c r="B6" s="450"/>
      <c r="C6" s="448">
        <v>39903</v>
      </c>
      <c r="D6" s="334">
        <v>5540646</v>
      </c>
      <c r="E6" s="160">
        <f t="shared" ref="E6:E9" si="0">D6/D5-1</f>
        <v>6.4525183940608688E-2</v>
      </c>
      <c r="F6" s="333">
        <v>2009</v>
      </c>
      <c r="G6" s="139">
        <v>4987491</v>
      </c>
      <c r="H6" s="139">
        <f>A2.1.1!E$29</f>
        <v>4712709</v>
      </c>
      <c r="I6" s="160">
        <f>H6/G6</f>
        <v>0.94490576524348613</v>
      </c>
    </row>
    <row r="7" spans="1:11" s="52" customFormat="1" ht="13.35" customHeight="1" x14ac:dyDescent="0.2">
      <c r="A7" s="319"/>
      <c r="B7" s="450"/>
      <c r="C7" s="448">
        <v>40268</v>
      </c>
      <c r="D7" s="334">
        <v>5920612</v>
      </c>
      <c r="E7" s="160">
        <f t="shared" si="0"/>
        <v>6.8577923946052444E-2</v>
      </c>
      <c r="F7" s="333">
        <v>2010</v>
      </c>
      <c r="G7" s="139">
        <v>5285734</v>
      </c>
      <c r="H7" s="139">
        <f>A2.1.1!H$29</f>
        <v>5001558</v>
      </c>
      <c r="I7" s="160">
        <f>H7/G7</f>
        <v>0.94623717349378533</v>
      </c>
    </row>
    <row r="8" spans="1:11" s="52" customFormat="1" ht="13.35" customHeight="1" x14ac:dyDescent="0.2">
      <c r="A8" s="319"/>
      <c r="B8" s="450"/>
      <c r="C8" s="448">
        <v>40633</v>
      </c>
      <c r="D8" s="334">
        <v>10346175</v>
      </c>
      <c r="E8" s="160">
        <f t="shared" si="0"/>
        <v>0.74748404387924761</v>
      </c>
      <c r="F8" s="333" t="s">
        <v>354</v>
      </c>
      <c r="G8" s="139">
        <v>5639197</v>
      </c>
      <c r="H8" s="139">
        <f>A2.1.1!K$29</f>
        <v>5199360</v>
      </c>
      <c r="I8" s="160">
        <f>H8/G8</f>
        <v>0.92200361150709931</v>
      </c>
    </row>
    <row r="9" spans="1:11" s="52" customFormat="1" ht="13.35" customHeight="1" x14ac:dyDescent="0.2">
      <c r="A9" s="319"/>
      <c r="B9" s="451"/>
      <c r="C9" s="449">
        <v>40999</v>
      </c>
      <c r="D9" s="335">
        <v>13703717</v>
      </c>
      <c r="E9" s="161">
        <f t="shared" si="0"/>
        <v>0.32452012458710588</v>
      </c>
      <c r="F9" s="453">
        <v>2012</v>
      </c>
      <c r="G9" s="140">
        <v>5881019</v>
      </c>
      <c r="H9" s="140">
        <f>A2.1.1!N$29</f>
        <v>5108207</v>
      </c>
      <c r="I9" s="161">
        <f>H9/G9</f>
        <v>0.86859216064426925</v>
      </c>
      <c r="K9" s="283"/>
    </row>
    <row r="10" spans="1:11" s="60" customFormat="1" ht="12" customHeight="1" x14ac:dyDescent="0.2">
      <c r="B10" s="29" t="s">
        <v>96</v>
      </c>
      <c r="C10" s="29"/>
    </row>
    <row r="11" spans="1:11" s="60" customFormat="1" ht="12" customHeight="1" x14ac:dyDescent="0.2">
      <c r="B11" s="29" t="s">
        <v>395</v>
      </c>
      <c r="C11" s="29"/>
    </row>
    <row r="12" spans="1:11" s="60" customFormat="1" ht="13.35" customHeight="1" x14ac:dyDescent="0.2">
      <c r="B12" s="29" t="s">
        <v>396</v>
      </c>
      <c r="C12" s="29"/>
    </row>
    <row r="13" spans="1:11" s="60" customFormat="1" ht="13.35" customHeight="1" x14ac:dyDescent="0.2">
      <c r="B13" s="29" t="s">
        <v>370</v>
      </c>
      <c r="C13" s="29"/>
    </row>
    <row r="14" spans="1:11" s="60" customFormat="1" ht="13.35" customHeight="1" x14ac:dyDescent="0.2"/>
    <row r="15" spans="1:11" s="60" customFormat="1" ht="13.35" customHeight="1" x14ac:dyDescent="0.2">
      <c r="E15" s="352" t="s">
        <v>371</v>
      </c>
    </row>
    <row r="16" spans="1:11" s="52" customFormat="1" ht="13.35" customHeight="1" x14ac:dyDescent="0.2"/>
    <row r="17" spans="4:8" s="52" customFormat="1" ht="13.35" customHeight="1" x14ac:dyDescent="0.2"/>
    <row r="18" spans="4:8" s="52" customFormat="1" ht="13.35" hidden="1" customHeight="1" x14ac:dyDescent="0.2">
      <c r="D18" s="373"/>
      <c r="E18" s="374"/>
      <c r="F18" s="374"/>
      <c r="G18" s="375">
        <f t="shared" ref="G18:H18" si="1">G6/G5-1</f>
        <v>0.1195062446676054</v>
      </c>
      <c r="H18" s="376" t="e">
        <f t="shared" si="1"/>
        <v>#DIV/0!</v>
      </c>
    </row>
    <row r="19" spans="4:8" s="52" customFormat="1" ht="13.35" hidden="1" customHeight="1" x14ac:dyDescent="0.2">
      <c r="D19" s="373"/>
      <c r="E19" s="374"/>
      <c r="F19" s="374"/>
      <c r="G19" s="377">
        <f t="shared" ref="G19:H19" si="2">G7/G6-1</f>
        <v>5.9798203144627138E-2</v>
      </c>
      <c r="H19" s="378">
        <f t="shared" si="2"/>
        <v>6.1291499220512025E-2</v>
      </c>
    </row>
    <row r="20" spans="4:8" s="52" customFormat="1" ht="13.35" hidden="1" customHeight="1" x14ac:dyDescent="0.2">
      <c r="D20" s="373"/>
      <c r="E20" s="374"/>
      <c r="F20" s="374"/>
      <c r="G20" s="377">
        <f t="shared" ref="G20:H20" si="3">G8/G7-1</f>
        <v>6.6871128967140647E-2</v>
      </c>
      <c r="H20" s="378">
        <f t="shared" si="3"/>
        <v>3.9548076819263089E-2</v>
      </c>
    </row>
    <row r="21" spans="4:8" s="52" customFormat="1" ht="13.35" hidden="1" customHeight="1" x14ac:dyDescent="0.2">
      <c r="D21" s="374"/>
      <c r="E21" s="374"/>
      <c r="F21" s="374"/>
      <c r="G21" s="379">
        <f>G9/G8-1</f>
        <v>4.2882346546857741E-2</v>
      </c>
      <c r="H21" s="380">
        <f>H9/H8-1</f>
        <v>-1.7531580809945879E-2</v>
      </c>
    </row>
    <row r="22" spans="4:8" s="52" customFormat="1" ht="13.35" hidden="1" customHeight="1" x14ac:dyDescent="0.2">
      <c r="D22" s="381">
        <f t="shared" ref="D22:D24" si="4">D6-D5</f>
        <v>335841</v>
      </c>
      <c r="E22" s="374"/>
      <c r="F22" s="374"/>
      <c r="G22" s="382">
        <f>G6-G5</f>
        <v>532410</v>
      </c>
      <c r="H22" s="383">
        <f t="shared" ref="H22:H24" si="5">H6-H5</f>
        <v>4712709</v>
      </c>
    </row>
    <row r="23" spans="4:8" s="52" customFormat="1" ht="13.35" hidden="1" customHeight="1" x14ac:dyDescent="0.2">
      <c r="D23" s="381">
        <f t="shared" si="4"/>
        <v>379966</v>
      </c>
      <c r="E23" s="374"/>
      <c r="F23" s="374"/>
      <c r="G23" s="384">
        <f>G7-G6</f>
        <v>298243</v>
      </c>
      <c r="H23" s="385">
        <f t="shared" si="5"/>
        <v>288849</v>
      </c>
    </row>
    <row r="24" spans="4:8" s="52" customFormat="1" ht="13.35" hidden="1" customHeight="1" x14ac:dyDescent="0.2">
      <c r="D24" s="381">
        <f t="shared" si="4"/>
        <v>4425563</v>
      </c>
      <c r="E24" s="374"/>
      <c r="F24" s="374"/>
      <c r="G24" s="384">
        <f t="shared" ref="G24:G25" si="6">G8-G7</f>
        <v>353463</v>
      </c>
      <c r="H24" s="385">
        <f t="shared" si="5"/>
        <v>197802</v>
      </c>
    </row>
    <row r="25" spans="4:8" hidden="1" x14ac:dyDescent="0.2">
      <c r="D25" s="381">
        <f>D9-D8</f>
        <v>3357542</v>
      </c>
      <c r="G25" s="386">
        <f t="shared" si="6"/>
        <v>241822</v>
      </c>
      <c r="H25" s="387">
        <f>H9-H8</f>
        <v>-91153</v>
      </c>
    </row>
  </sheetData>
  <mergeCells count="7">
    <mergeCell ref="I2:I4"/>
    <mergeCell ref="C2:C4"/>
    <mergeCell ref="D2:D4"/>
    <mergeCell ref="E2:E4"/>
    <mergeCell ref="F2:F4"/>
    <mergeCell ref="G2:G4"/>
    <mergeCell ref="H2:H4"/>
  </mergeCells>
  <hyperlinks>
    <hyperlink ref="E15"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F8"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24.95" customHeight="1" x14ac:dyDescent="0.2">
      <c r="A1" s="69"/>
      <c r="B1" s="1044" t="s">
        <v>524</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A2.7.3!E4/A2.7.3!E$29</f>
        <v>3.9401207073768551E-3</v>
      </c>
      <c r="F4" s="640">
        <f>A2.7.3!F4/A2.7.3!F$29</f>
        <v>2.2965819027454403E-3</v>
      </c>
      <c r="G4" s="639">
        <f>A2.7.3!G4/A2.7.3!G$29</f>
        <v>3.7128297197363156E-3</v>
      </c>
      <c r="H4" s="640">
        <f>A2.7.3!H4/A2.7.3!H$29</f>
        <v>1.9623825381098886E-3</v>
      </c>
      <c r="I4" s="639">
        <f>A2.7.3!I4/A2.7.3!I$29</f>
        <v>3.4518482728160649E-3</v>
      </c>
      <c r="J4" s="640">
        <f>A2.7.3!J4/A2.7.3!J$29</f>
        <v>1.7485606947352809E-3</v>
      </c>
      <c r="K4" s="639">
        <f>A2.7.3!K4/A2.7.3!K$29</f>
        <v>3.0898293299345451E-3</v>
      </c>
      <c r="L4" s="640">
        <f>A2.7.3!L4/A2.7.3!L$29</f>
        <v>1.4778365882710069E-3</v>
      </c>
    </row>
    <row r="5" spans="1:12" ht="13.35" customHeight="1" x14ac:dyDescent="0.2">
      <c r="B5" s="145"/>
      <c r="C5" s="16" t="s">
        <v>19</v>
      </c>
      <c r="D5" s="339" t="s">
        <v>129</v>
      </c>
      <c r="E5" s="639">
        <f>A2.7.3!E5/A2.7.3!E$29</f>
        <v>8.8677908503622305E-4</v>
      </c>
      <c r="F5" s="640">
        <f>A2.7.3!F5/A2.7.3!F$29</f>
        <v>2.2103580549431468E-4</v>
      </c>
      <c r="G5" s="639">
        <f>A2.7.3!G5/A2.7.3!G$29</f>
        <v>8.7553776491314846E-4</v>
      </c>
      <c r="H5" s="640">
        <f>A2.7.3!H5/A2.7.3!H$29</f>
        <v>1.8840175650096109E-4</v>
      </c>
      <c r="I5" s="639">
        <f>A2.7.3!I5/A2.7.3!I$29</f>
        <v>7.20308398707002E-4</v>
      </c>
      <c r="J5" s="640">
        <f>A2.7.3!J5/A2.7.3!J$29</f>
        <v>1.394255299055714E-4</v>
      </c>
      <c r="K5" s="639">
        <f>A2.7.3!K5/A2.7.3!K$29</f>
        <v>6.0461071924723425E-4</v>
      </c>
      <c r="L5" s="640">
        <f>A2.7.3!L5/A2.7.3!L$29</f>
        <v>1.144741041229541E-4</v>
      </c>
    </row>
    <row r="6" spans="1:12" ht="13.35" customHeight="1" x14ac:dyDescent="0.2">
      <c r="B6" s="145"/>
      <c r="C6" s="16" t="s">
        <v>20</v>
      </c>
      <c r="D6" s="338" t="s">
        <v>44</v>
      </c>
      <c r="E6" s="639">
        <f>A2.7.3!E6/A2.7.3!E$29</f>
        <v>1.1849818070759389E-2</v>
      </c>
      <c r="F6" s="640">
        <f>A2.7.3!F6/A2.7.3!F$29</f>
        <v>5.3644417163616299E-3</v>
      </c>
      <c r="G6" s="639">
        <f>A2.7.3!G6/A2.7.3!G$29</f>
        <v>1.1066736282223912E-2</v>
      </c>
      <c r="H6" s="640">
        <f>A2.7.3!H6/A2.7.3!H$29</f>
        <v>4.7784378577574302E-3</v>
      </c>
      <c r="I6" s="639">
        <f>A2.7.3!I6/A2.7.3!I$29</f>
        <v>9.2446988414298867E-3</v>
      </c>
      <c r="J6" s="640">
        <f>A2.7.3!J6/A2.7.3!J$29</f>
        <v>3.7931963004953625E-3</v>
      </c>
      <c r="K6" s="639">
        <f>A2.7.3!K6/A2.7.3!K$29</f>
        <v>7.7619532192436053E-3</v>
      </c>
      <c r="L6" s="640">
        <f>A2.7.3!L6/A2.7.3!L$29</f>
        <v>3.0685284078412027E-3</v>
      </c>
    </row>
    <row r="7" spans="1:12" ht="13.35" customHeight="1" x14ac:dyDescent="0.2">
      <c r="B7" s="145"/>
      <c r="C7" s="16" t="s">
        <v>21</v>
      </c>
      <c r="D7" s="338" t="s">
        <v>45</v>
      </c>
      <c r="E7" s="639">
        <f>A2.7.3!E7/A2.7.3!E$29</f>
        <v>9.1313440749359338E-3</v>
      </c>
      <c r="F7" s="640">
        <f>A2.7.3!F7/A2.7.3!F$29</f>
        <v>4.9033727152125641E-3</v>
      </c>
      <c r="G7" s="639">
        <f>A2.7.3!G7/A2.7.3!G$29</f>
        <v>7.903503067053827E-3</v>
      </c>
      <c r="H7" s="640">
        <f>A2.7.3!H7/A2.7.3!H$29</f>
        <v>4.06749064441779E-3</v>
      </c>
      <c r="I7" s="639">
        <f>A2.7.3!I7/A2.7.3!I$29</f>
        <v>6.4931504006900736E-3</v>
      </c>
      <c r="J7" s="640">
        <f>A2.7.3!J7/A2.7.3!J$29</f>
        <v>3.1387791622291762E-3</v>
      </c>
      <c r="K7" s="639">
        <f>A2.7.3!K7/A2.7.3!K$29</f>
        <v>5.2477016808613487E-3</v>
      </c>
      <c r="L7" s="640">
        <f>A2.7.3!L7/A2.7.3!L$29</f>
        <v>2.4362192415415323E-3</v>
      </c>
    </row>
    <row r="8" spans="1:12" ht="13.35" customHeight="1" x14ac:dyDescent="0.2">
      <c r="B8" s="145"/>
      <c r="C8" s="16" t="s">
        <v>22</v>
      </c>
      <c r="D8" s="338" t="s">
        <v>46</v>
      </c>
      <c r="E8" s="639">
        <f>A2.7.3!E8/A2.7.3!E$29</f>
        <v>1.2355220136706608E-2</v>
      </c>
      <c r="F8" s="640">
        <f>A2.7.3!F8/A2.7.3!F$29</f>
        <v>7.454347787919125E-3</v>
      </c>
      <c r="G8" s="639">
        <f>A2.7.3!G8/A2.7.3!G$29</f>
        <v>1.0099599099883057E-2</v>
      </c>
      <c r="H8" s="640">
        <f>A2.7.3!H8/A2.7.3!H$29</f>
        <v>5.9747933724237307E-3</v>
      </c>
      <c r="I8" s="639">
        <f>A2.7.3!I8/A2.7.3!I$29</f>
        <v>8.396187404681411E-3</v>
      </c>
      <c r="J8" s="640">
        <f>A2.7.3!J8/A2.7.3!J$29</f>
        <v>4.6620731112692925E-3</v>
      </c>
      <c r="K8" s="639">
        <f>A2.7.3!K8/A2.7.3!K$29</f>
        <v>6.6594277900280602E-3</v>
      </c>
      <c r="L8" s="640">
        <f>A2.7.3!L8/A2.7.3!L$29</f>
        <v>3.5215358956572564E-3</v>
      </c>
    </row>
    <row r="9" spans="1:12" ht="13.35" customHeight="1" x14ac:dyDescent="0.2">
      <c r="B9" s="145"/>
      <c r="C9" s="16" t="s">
        <v>23</v>
      </c>
      <c r="D9" s="338" t="s">
        <v>47</v>
      </c>
      <c r="E9" s="639">
        <f>A2.7.3!E9/A2.7.3!E$29</f>
        <v>1.979672294819939E-2</v>
      </c>
      <c r="F9" s="640">
        <f>A2.7.3!F9/A2.7.3!F$29</f>
        <v>1.1575519494724741E-2</v>
      </c>
      <c r="G9" s="639">
        <f>A2.7.3!G9/A2.7.3!G$29</f>
        <v>1.424141942457246E-2</v>
      </c>
      <c r="H9" s="640">
        <f>A2.7.3!H9/A2.7.3!H$29</f>
        <v>8.8335953653556933E-3</v>
      </c>
      <c r="I9" s="639">
        <f>A2.7.3!I9/A2.7.3!I$29</f>
        <v>1.1267787245205725E-2</v>
      </c>
      <c r="J9" s="640">
        <f>A2.7.3!J9/A2.7.3!J$29</f>
        <v>6.7583074319494492E-3</v>
      </c>
      <c r="K9" s="639">
        <f>A2.7.3!K9/A2.7.3!K$29</f>
        <v>8.6387476356309511E-3</v>
      </c>
      <c r="L9" s="640">
        <f>A2.7.3!L9/A2.7.3!L$29</f>
        <v>4.8834397422036924E-3</v>
      </c>
    </row>
    <row r="10" spans="1:12" s="50" customFormat="1" ht="13.35" customHeight="1" x14ac:dyDescent="0.2">
      <c r="B10" s="145"/>
      <c r="C10" s="16" t="s">
        <v>24</v>
      </c>
      <c r="D10" s="338" t="s">
        <v>48</v>
      </c>
      <c r="E10" s="639">
        <f>A2.7.3!E10/A2.7.3!E$29</f>
        <v>2.5041432117216073E-2</v>
      </c>
      <c r="F10" s="640">
        <f>A2.7.3!F10/A2.7.3!F$29</f>
        <v>1.2733898982895883E-2</v>
      </c>
      <c r="G10" s="639">
        <f>A2.7.3!G10/A2.7.3!G$29</f>
        <v>2.2442620598266329E-2</v>
      </c>
      <c r="H10" s="640">
        <f>A2.7.3!H10/A2.7.3!H$29</f>
        <v>1.2606498082402591E-2</v>
      </c>
      <c r="I10" s="639">
        <f>A2.7.3!I10/A2.7.3!I$29</f>
        <v>1.7577155256102241E-2</v>
      </c>
      <c r="J10" s="640">
        <f>A2.7.3!J10/A2.7.3!J$29</f>
        <v>1.0128555047870367E-2</v>
      </c>
      <c r="K10" s="639">
        <f>A2.7.3!K10/A2.7.3!K$29</f>
        <v>1.3739833031632826E-2</v>
      </c>
      <c r="L10" s="640">
        <f>A2.7.3!L10/A2.7.3!L$29</f>
        <v>8.1152122417089828E-3</v>
      </c>
    </row>
    <row r="11" spans="1:12" s="1" customFormat="1" ht="13.35" customHeight="1" x14ac:dyDescent="0.2">
      <c r="B11" s="631"/>
      <c r="C11" s="16" t="s">
        <v>25</v>
      </c>
      <c r="D11" s="338" t="s">
        <v>49</v>
      </c>
      <c r="E11" s="639">
        <f>A2.7.3!E11/A2.7.3!E$29</f>
        <v>2.5727445657650564E-2</v>
      </c>
      <c r="F11" s="640">
        <f>A2.7.3!F11/A2.7.3!F$29</f>
        <v>1.3546679440925505E-2</v>
      </c>
      <c r="G11" s="639">
        <f>A2.7.3!G11/A2.7.3!G$29</f>
        <v>2.8286663430153916E-2</v>
      </c>
      <c r="H11" s="640">
        <f>A2.7.3!H11/A2.7.3!H$29</f>
        <v>1.3430294827777842E-2</v>
      </c>
      <c r="I11" s="639">
        <f>A2.7.3!I11/A2.7.3!I$29</f>
        <v>2.2935004765003091E-2</v>
      </c>
      <c r="J11" s="640">
        <f>A2.7.3!J11/A2.7.3!J$29</f>
        <v>1.1555490887998978E-2</v>
      </c>
      <c r="K11" s="639">
        <f>A2.7.3!K11/A2.7.3!K$29</f>
        <v>1.7162089383674493E-2</v>
      </c>
      <c r="L11" s="640">
        <f>A2.7.3!L11/A2.7.3!L$29</f>
        <v>8.9295891177745973E-3</v>
      </c>
    </row>
    <row r="12" spans="1:12" s="1" customFormat="1" ht="13.35" customHeight="1" x14ac:dyDescent="0.2">
      <c r="B12" s="631"/>
      <c r="C12" s="16" t="s">
        <v>26</v>
      </c>
      <c r="D12" s="338" t="s">
        <v>50</v>
      </c>
      <c r="E12" s="639">
        <f>A2.7.3!E12/A2.7.3!E$29</f>
        <v>2.5933637298052342E-2</v>
      </c>
      <c r="F12" s="640">
        <f>A2.7.3!F12/A2.7.3!F$29</f>
        <v>1.4272518062004327E-2</v>
      </c>
      <c r="G12" s="639">
        <f>A2.7.3!G12/A2.7.3!G$29</f>
        <v>2.636154900721498E-2</v>
      </c>
      <c r="H12" s="640">
        <f>A2.7.3!H12/A2.7.3!H$29</f>
        <v>1.3657223598985222E-2</v>
      </c>
      <c r="I12" s="639">
        <f>A2.7.3!I12/A2.7.3!I$29</f>
        <v>2.8654490589304162E-2</v>
      </c>
      <c r="J12" s="640">
        <f>A2.7.3!J12/A2.7.3!J$29</f>
        <v>1.3403340549468021E-2</v>
      </c>
      <c r="K12" s="639">
        <f>A2.7.3!K12/A2.7.3!K$29</f>
        <v>2.4836943819833264E-2</v>
      </c>
      <c r="L12" s="640">
        <f>A2.7.3!L12/A2.7.3!L$29</f>
        <v>1.1462686779306955E-2</v>
      </c>
    </row>
    <row r="13" spans="1:12" s="1" customFormat="1" ht="13.35" customHeight="1" x14ac:dyDescent="0.2">
      <c r="B13" s="631"/>
      <c r="C13" s="16" t="s">
        <v>27</v>
      </c>
      <c r="D13" s="338" t="s">
        <v>51</v>
      </c>
      <c r="E13" s="639">
        <f>A2.7.3!E13/A2.7.3!E$29</f>
        <v>2.7421937860350899E-2</v>
      </c>
      <c r="F13" s="640">
        <f>A2.7.3!F13/A2.7.3!F$29</f>
        <v>1.5219193498913385E-2</v>
      </c>
      <c r="G13" s="639">
        <f>A2.7.3!G13/A2.7.3!G$29</f>
        <v>2.6198960041280805E-2</v>
      </c>
      <c r="H13" s="640">
        <f>A2.7.3!H13/A2.7.3!H$29</f>
        <v>1.4227123894797508E-2</v>
      </c>
      <c r="I13" s="639">
        <f>A2.7.3!I13/A2.7.3!I$29</f>
        <v>2.5339738050809902E-2</v>
      </c>
      <c r="J13" s="640">
        <f>A2.7.3!J13/A2.7.3!J$29</f>
        <v>1.3166049697376808E-2</v>
      </c>
      <c r="K13" s="639">
        <f>A2.7.3!K13/A2.7.3!K$29</f>
        <v>2.7604507652353918E-2</v>
      </c>
      <c r="L13" s="640">
        <f>A2.7.3!L13/A2.7.3!L$29</f>
        <v>1.2663329079563338E-2</v>
      </c>
    </row>
    <row r="14" spans="1:12" s="1" customFormat="1" ht="13.35" customHeight="1" x14ac:dyDescent="0.2">
      <c r="B14" s="631"/>
      <c r="C14" s="16" t="s">
        <v>28</v>
      </c>
      <c r="D14" s="338" t="s">
        <v>52</v>
      </c>
      <c r="E14" s="639">
        <f>A2.7.3!E14/A2.7.3!E$29</f>
        <v>3.2126362918991493E-2</v>
      </c>
      <c r="F14" s="640">
        <f>A2.7.3!F14/A2.7.3!F$29</f>
        <v>1.692110435737619E-2</v>
      </c>
      <c r="G14" s="639">
        <f>A2.7.3!G14/A2.7.3!G$29</f>
        <v>2.7275253196056341E-2</v>
      </c>
      <c r="H14" s="640">
        <f>A2.7.3!H14/A2.7.3!H$29</f>
        <v>1.4932941064559176E-2</v>
      </c>
      <c r="I14" s="639">
        <f>A2.7.3!I14/A2.7.3!I$29</f>
        <v>2.4675750061878346E-2</v>
      </c>
      <c r="J14" s="640">
        <f>A2.7.3!J14/A2.7.3!J$29</f>
        <v>1.3311791989129492E-2</v>
      </c>
      <c r="K14" s="639">
        <f>A2.7.3!K14/A2.7.3!K$29</f>
        <v>2.5040900136890254E-2</v>
      </c>
      <c r="L14" s="640">
        <f>A2.7.3!L14/A2.7.3!L$29</f>
        <v>1.2413237278194897E-2</v>
      </c>
    </row>
    <row r="15" spans="1:12" customFormat="1" ht="13.35" customHeight="1" x14ac:dyDescent="0.2">
      <c r="A15" s="1"/>
      <c r="B15" s="631"/>
      <c r="C15" s="16" t="s">
        <v>29</v>
      </c>
      <c r="D15" s="338" t="s">
        <v>53</v>
      </c>
      <c r="E15" s="639">
        <f>A2.7.3!E15/A2.7.3!E$29</f>
        <v>3.8079565168185718E-2</v>
      </c>
      <c r="F15" s="640">
        <f>A2.7.3!F15/A2.7.3!F$29</f>
        <v>1.929091101245E-2</v>
      </c>
      <c r="G15" s="639">
        <f>A2.7.3!G15/A2.7.3!G$29</f>
        <v>3.0380473446855544E-2</v>
      </c>
      <c r="H15" s="640">
        <f>A2.7.3!H15/A2.7.3!H$29</f>
        <v>1.671715541985621E-2</v>
      </c>
      <c r="I15" s="639">
        <f>A2.7.3!I15/A2.7.3!I$29</f>
        <v>2.6465405188295432E-2</v>
      </c>
      <c r="J15" s="640">
        <f>A2.7.3!J15/A2.7.3!J$29</f>
        <v>1.4530784089422464E-2</v>
      </c>
      <c r="K15" s="639">
        <f>A2.7.3!K15/A2.7.3!K$29</f>
        <v>2.4408708136332821E-2</v>
      </c>
      <c r="L15" s="640">
        <f>A2.7.3!L15/A2.7.3!L$29</f>
        <v>1.3003329141859166E-2</v>
      </c>
    </row>
    <row r="16" spans="1:12" customFormat="1" ht="13.35" customHeight="1" x14ac:dyDescent="0.2">
      <c r="A16" s="1"/>
      <c r="B16" s="631"/>
      <c r="C16" s="16" t="s">
        <v>30</v>
      </c>
      <c r="D16" s="338" t="s">
        <v>54</v>
      </c>
      <c r="E16" s="639">
        <f>A2.7.3!E16/A2.7.3!E$29</f>
        <v>3.7117595898491701E-2</v>
      </c>
      <c r="F16" s="640">
        <f>A2.7.3!F16/A2.7.3!F$29</f>
        <v>1.9533998699448329E-2</v>
      </c>
      <c r="G16" s="639">
        <f>A2.7.3!G16/A2.7.3!G$29</f>
        <v>3.5384091623843941E-2</v>
      </c>
      <c r="H16" s="640">
        <f>A2.7.3!H16/A2.7.3!H$29</f>
        <v>1.7965429750072245E-2</v>
      </c>
      <c r="I16" s="639">
        <f>A2.7.3!I16/A2.7.3!I$29</f>
        <v>2.9263640284506995E-2</v>
      </c>
      <c r="J16" s="640">
        <f>A2.7.3!J16/A2.7.3!J$29</f>
        <v>1.5650590606972627E-2</v>
      </c>
      <c r="K16" s="639">
        <f>A2.7.3!K16/A2.7.3!K$29</f>
        <v>2.5529379145357706E-2</v>
      </c>
      <c r="L16" s="640">
        <f>A2.7.3!L16/A2.7.3!L$29</f>
        <v>1.3331212219580148E-2</v>
      </c>
    </row>
    <row r="17" spans="1:12" customFormat="1" ht="13.35" customHeight="1" x14ac:dyDescent="0.2">
      <c r="A17" s="1"/>
      <c r="B17" s="631"/>
      <c r="C17" s="16" t="s">
        <v>31</v>
      </c>
      <c r="D17" s="338" t="s">
        <v>55</v>
      </c>
      <c r="E17" s="639">
        <f>A2.7.3!E17/A2.7.3!E$29</f>
        <v>5.0548733316693309E-2</v>
      </c>
      <c r="F17" s="640">
        <f>A2.7.3!F17/A2.7.3!F$29</f>
        <v>2.3835242180367797E-2</v>
      </c>
      <c r="G17" s="639">
        <f>A2.7.3!G17/A2.7.3!G$29</f>
        <v>3.4630686415501065E-2</v>
      </c>
      <c r="H17" s="640">
        <f>A2.7.3!H17/A2.7.3!H$29</f>
        <v>1.8471762355235684E-2</v>
      </c>
      <c r="I17" s="639">
        <f>A2.7.3!I17/A2.7.3!I$29</f>
        <v>3.2997831664223647E-2</v>
      </c>
      <c r="J17" s="640">
        <f>A2.7.3!J17/A2.7.3!J$29</f>
        <v>1.6913908123458648E-2</v>
      </c>
      <c r="K17" s="639">
        <f>A2.7.3!K17/A2.7.3!K$29</f>
        <v>2.8227263951410491E-2</v>
      </c>
      <c r="L17" s="640">
        <f>A2.7.3!L17/A2.7.3!L$29</f>
        <v>1.4698999228039772E-2</v>
      </c>
    </row>
    <row r="18" spans="1:12" customFormat="1" ht="13.35" customHeight="1" x14ac:dyDescent="0.2">
      <c r="A18" s="1"/>
      <c r="B18" s="631"/>
      <c r="C18" s="16" t="s">
        <v>32</v>
      </c>
      <c r="D18" s="338" t="s">
        <v>56</v>
      </c>
      <c r="E18" s="639">
        <f>A2.7.3!E18/A2.7.3!E$29</f>
        <v>5.7241434907779623E-2</v>
      </c>
      <c r="F18" s="640">
        <f>A2.7.3!F18/A2.7.3!F$29</f>
        <v>2.6501949641701404E-2</v>
      </c>
      <c r="G18" s="639">
        <f>A2.7.3!G18/A2.7.3!G$29</f>
        <v>3.4035290202220979E-2</v>
      </c>
      <c r="H18" s="640">
        <f>A2.7.3!H18/A2.7.3!H$29</f>
        <v>1.8900113227424829E-2</v>
      </c>
      <c r="I18" s="639">
        <f>A2.7.3!I18/A2.7.3!I$29</f>
        <v>3.0952511519746973E-2</v>
      </c>
      <c r="J18" s="640">
        <f>A2.7.3!J18/A2.7.3!J$29</f>
        <v>1.6905276813353513E-2</v>
      </c>
      <c r="K18" s="639">
        <f>A2.7.3!K18/A2.7.3!K$29</f>
        <v>3.3747875152604329E-2</v>
      </c>
      <c r="L18" s="640">
        <f>A2.7.3!L18/A2.7.3!L$29</f>
        <v>1.6480815921727822E-2</v>
      </c>
    </row>
    <row r="19" spans="1:12" customFormat="1" ht="13.35" customHeight="1" x14ac:dyDescent="0.2">
      <c r="A19" s="1"/>
      <c r="B19" s="631"/>
      <c r="C19" s="16" t="s">
        <v>33</v>
      </c>
      <c r="D19" s="338" t="s">
        <v>57</v>
      </c>
      <c r="E19" s="639">
        <f>A2.7.3!E19/A2.7.3!E$29</f>
        <v>4.3398689365317329E-2</v>
      </c>
      <c r="F19" s="640">
        <f>A2.7.3!F19/A2.7.3!F$29</f>
        <v>2.354407151108855E-2</v>
      </c>
      <c r="G19" s="639">
        <f>A2.7.3!G19/A2.7.3!G$29</f>
        <v>4.6002754089150659E-2</v>
      </c>
      <c r="H19" s="640">
        <f>A2.7.3!H19/A2.7.3!H$29</f>
        <v>2.2605235826190645E-2</v>
      </c>
      <c r="I19" s="639">
        <f>A2.7.3!I19/A2.7.3!I$29</f>
        <v>3.1823254697196282E-2</v>
      </c>
      <c r="J19" s="640">
        <f>A2.7.3!J19/A2.7.3!J$29</f>
        <v>1.7790413732910303E-2</v>
      </c>
      <c r="K19" s="639">
        <f>A2.7.3!K19/A2.7.3!K$29</f>
        <v>3.0240697487054942E-2</v>
      </c>
      <c r="L19" s="640">
        <f>A2.7.3!L19/A2.7.3!L$29</f>
        <v>1.6054905511157208E-2</v>
      </c>
    </row>
    <row r="20" spans="1:12" customFormat="1" ht="13.35" customHeight="1" x14ac:dyDescent="0.2">
      <c r="A20" s="1"/>
      <c r="B20" s="631"/>
      <c r="C20" s="16" t="s">
        <v>34</v>
      </c>
      <c r="D20" s="338" t="s">
        <v>58</v>
      </c>
      <c r="E20" s="639">
        <f>A2.7.3!E20/A2.7.3!E$29</f>
        <v>0.18127810911413561</v>
      </c>
      <c r="F20" s="640">
        <f>A2.7.3!F20/A2.7.3!F$29</f>
        <v>0.11176931813074163</v>
      </c>
      <c r="G20" s="639">
        <f>A2.7.3!G20/A2.7.3!G$29</f>
        <v>0.20664446907451001</v>
      </c>
      <c r="H20" s="640">
        <f>A2.7.3!H20/A2.7.3!H$29</f>
        <v>0.11390328115877707</v>
      </c>
      <c r="I20" s="639">
        <f>A2.7.3!I20/A2.7.3!I$29</f>
        <v>0.20048065023395201</v>
      </c>
      <c r="J20" s="640">
        <f>A2.7.3!J20/A2.7.3!J$29</f>
        <v>0.11103161350393731</v>
      </c>
      <c r="K20" s="639">
        <f>A2.7.3!K20/A2.7.3!K$29</f>
        <v>0.18442731824298528</v>
      </c>
      <c r="L20" s="640">
        <f>A2.7.3!L20/A2.7.3!L$29</f>
        <v>9.931654458413075E-2</v>
      </c>
    </row>
    <row r="21" spans="1:12" customFormat="1" ht="13.35" customHeight="1" x14ac:dyDescent="0.2">
      <c r="A21" s="1"/>
      <c r="B21" s="631"/>
      <c r="C21" s="16" t="s">
        <v>35</v>
      </c>
      <c r="D21" s="338" t="s">
        <v>59</v>
      </c>
      <c r="E21" s="639">
        <f>A2.7.3!E21/A2.7.3!E$29</f>
        <v>0.16557576302534296</v>
      </c>
      <c r="F21" s="640">
        <f>A2.7.3!F21/A2.7.3!F$29</f>
        <v>0.15288225797323549</v>
      </c>
      <c r="G21" s="639">
        <f>A2.7.3!G21/A2.7.3!G$29</f>
        <v>0.19026343992452208</v>
      </c>
      <c r="H21" s="640">
        <f>A2.7.3!H21/A2.7.3!H$29</f>
        <v>0.15898277270921166</v>
      </c>
      <c r="I21" s="639">
        <f>A2.7.3!I21/A2.7.3!I$29</f>
        <v>0.21616588435641335</v>
      </c>
      <c r="J21" s="640">
        <f>A2.7.3!J21/A2.7.3!J$29</f>
        <v>0.16288978668347245</v>
      </c>
      <c r="K21" s="639">
        <f>A2.7.3!K21/A2.7.3!K$29</f>
        <v>0.23825944695176035</v>
      </c>
      <c r="L21" s="640">
        <f>A2.7.3!L21/A2.7.3!L$29</f>
        <v>0.16656561189689861</v>
      </c>
    </row>
    <row r="22" spans="1:12" customFormat="1" ht="13.35" customHeight="1" x14ac:dyDescent="0.2">
      <c r="A22" s="1"/>
      <c r="B22" s="631"/>
      <c r="C22" s="16" t="s">
        <v>36</v>
      </c>
      <c r="D22" s="338" t="s">
        <v>60</v>
      </c>
      <c r="E22" s="639">
        <f>A2.7.3!E22/A2.7.3!E$29</f>
        <v>8.4040146907668006E-2</v>
      </c>
      <c r="F22" s="640">
        <f>A2.7.3!F22/A2.7.3!F$29</f>
        <v>0.11006086395638259</v>
      </c>
      <c r="G22" s="639">
        <f>A2.7.3!G22/A2.7.3!G$29</f>
        <v>8.9420877949882904E-2</v>
      </c>
      <c r="H22" s="640">
        <f>A2.7.3!H22/A2.7.3!H$29</f>
        <v>0.11002891443553403</v>
      </c>
      <c r="I22" s="639">
        <f>A2.7.3!I22/A2.7.3!I$29</f>
        <v>9.8777106049849489E-2</v>
      </c>
      <c r="J22" s="640">
        <f>A2.7.3!J22/A2.7.3!J$29</f>
        <v>0.11108072653876586</v>
      </c>
      <c r="K22" s="639">
        <f>A2.7.3!K22/A2.7.3!K$29</f>
        <v>0.10452579793372653</v>
      </c>
      <c r="L22" s="640">
        <f>A2.7.3!L22/A2.7.3!L$29</f>
        <v>0.11141515583693709</v>
      </c>
    </row>
    <row r="23" spans="1:12" customFormat="1" ht="13.35" customHeight="1" x14ac:dyDescent="0.2">
      <c r="A23" s="1"/>
      <c r="B23" s="631"/>
      <c r="C23" s="16" t="s">
        <v>37</v>
      </c>
      <c r="D23" s="338" t="s">
        <v>61</v>
      </c>
      <c r="E23" s="639">
        <f>A2.7.3!E23/A2.7.3!E$29</f>
        <v>4.9456537747798165E-2</v>
      </c>
      <c r="F23" s="640">
        <f>A2.7.3!F23/A2.7.3!F$29</f>
        <v>8.3436486306530389E-2</v>
      </c>
      <c r="G23" s="639">
        <f>A2.7.3!G23/A2.7.3!G$29</f>
        <v>5.0138467786011547E-2</v>
      </c>
      <c r="H23" s="640">
        <f>A2.7.3!H23/A2.7.3!H$29</f>
        <v>8.2726926246402141E-2</v>
      </c>
      <c r="I23" s="639">
        <f>A2.7.3!I23/A2.7.3!I$29</f>
        <v>5.4596708813106645E-2</v>
      </c>
      <c r="J23" s="640">
        <f>A2.7.3!J23/A2.7.3!J$29</f>
        <v>8.2844290036311621E-2</v>
      </c>
      <c r="K23" s="639">
        <f>A2.7.3!K23/A2.7.3!K$29</f>
        <v>5.9655408181188696E-2</v>
      </c>
      <c r="L23" s="640">
        <f>A2.7.3!L23/A2.7.3!L$29</f>
        <v>8.4347582267275872E-2</v>
      </c>
    </row>
    <row r="24" spans="1:12" customFormat="1" ht="13.35" customHeight="1" x14ac:dyDescent="0.2">
      <c r="A24" s="1"/>
      <c r="B24" s="631"/>
      <c r="C24" s="16" t="s">
        <v>38</v>
      </c>
      <c r="D24" s="338" t="s">
        <v>62</v>
      </c>
      <c r="E24" s="639">
        <f>A2.7.3!E24/A2.7.3!E$29</f>
        <v>5.5105103475646906E-2</v>
      </c>
      <c r="F24" s="640">
        <f>A2.7.3!F24/A2.7.3!F$29</f>
        <v>0.12453141184433884</v>
      </c>
      <c r="G24" s="639">
        <f>A2.7.3!G24/A2.7.3!G$29</f>
        <v>6.018616054935224E-2</v>
      </c>
      <c r="H24" s="640">
        <f>A2.7.3!H24/A2.7.3!H$29</f>
        <v>0.13181062945281097</v>
      </c>
      <c r="I24" s="639">
        <f>A2.7.3!I24/A2.7.3!I$29</f>
        <v>6.7493341593660106E-2</v>
      </c>
      <c r="J24" s="640">
        <f>A2.7.3!J24/A2.7.3!J$29</f>
        <v>0.13636373970490664</v>
      </c>
      <c r="K24" s="639">
        <f>A2.7.3!K24/A2.7.3!K$29</f>
        <v>7.2334813528763642E-2</v>
      </c>
      <c r="L24" s="640">
        <f>A2.7.3!L24/A2.7.3!L$29</f>
        <v>0.14059194065063982</v>
      </c>
    </row>
    <row r="25" spans="1:12" customFormat="1" ht="13.35" customHeight="1" x14ac:dyDescent="0.2">
      <c r="A25" s="1"/>
      <c r="B25" s="631"/>
      <c r="C25" s="16" t="s">
        <v>39</v>
      </c>
      <c r="D25" s="338" t="s">
        <v>63</v>
      </c>
      <c r="E25" s="639">
        <f>A2.7.3!E25/A2.7.3!E$29</f>
        <v>1.9800598730913707E-2</v>
      </c>
      <c r="F25" s="640">
        <f>A2.7.3!F25/A2.7.3!F$29</f>
        <v>6.240894360927942E-2</v>
      </c>
      <c r="G25" s="639">
        <f>A2.7.3!G25/A2.7.3!G$29</f>
        <v>2.0848790735024259E-2</v>
      </c>
      <c r="H25" s="640">
        <f>A2.7.3!H25/A2.7.3!H$29</f>
        <v>6.7278653352216222E-2</v>
      </c>
      <c r="I25" s="639">
        <f>A2.7.3!I25/A2.7.3!I$29</f>
        <v>2.4294846237870732E-2</v>
      </c>
      <c r="J25" s="640">
        <f>A2.7.3!J25/A2.7.3!J$29</f>
        <v>7.1824518855252928E-2</v>
      </c>
      <c r="K25" s="639">
        <f>A2.7.3!K25/A2.7.3!K$29</f>
        <v>2.7063043550843189E-2</v>
      </c>
      <c r="L25" s="640">
        <f>A2.7.3!L25/A2.7.3!L$29</f>
        <v>7.5619803709996131E-2</v>
      </c>
    </row>
    <row r="26" spans="1:12" customFormat="1" ht="13.35" customHeight="1" x14ac:dyDescent="0.2">
      <c r="A26" s="1"/>
      <c r="B26" s="631"/>
      <c r="C26" s="16" t="s">
        <v>40</v>
      </c>
      <c r="D26" s="338" t="s">
        <v>64</v>
      </c>
      <c r="E26" s="639">
        <f>A2.7.3!E26/A2.7.3!E$29</f>
        <v>1.8292919255043557E-2</v>
      </c>
      <c r="F26" s="640">
        <f>A2.7.3!F26/A2.7.3!F$29</f>
        <v>8.0766452082418602E-2</v>
      </c>
      <c r="G26" s="639">
        <f>A2.7.3!G26/A2.7.3!G$29</f>
        <v>1.833209674119806E-2</v>
      </c>
      <c r="H26" s="640">
        <f>A2.7.3!H26/A2.7.3!H$29</f>
        <v>8.7439662481069144E-2</v>
      </c>
      <c r="I26" s="639">
        <f>A2.7.3!I26/A2.7.3!I$29</f>
        <v>2.171003585238717E-2</v>
      </c>
      <c r="J26" s="640">
        <f>A2.7.3!J26/A2.7.3!J$29</f>
        <v>9.7299586581674632E-2</v>
      </c>
      <c r="K26" s="639">
        <f>A2.7.3!K26/A2.7.3!K$29</f>
        <v>2.4418143837833681E-2</v>
      </c>
      <c r="L26" s="640">
        <f>A2.7.3!L26/A2.7.3!L$29</f>
        <v>0.10549299572625837</v>
      </c>
    </row>
    <row r="27" spans="1:12" customFormat="1" ht="13.35" customHeight="1" x14ac:dyDescent="0.2">
      <c r="A27" s="1"/>
      <c r="B27" s="631"/>
      <c r="C27" s="16" t="s">
        <v>41</v>
      </c>
      <c r="D27" s="338" t="s">
        <v>65</v>
      </c>
      <c r="E27" s="639">
        <f>A2.7.3!E27/A2.7.3!E$29</f>
        <v>4.9858068837001631E-3</v>
      </c>
      <c r="F27" s="640">
        <f>A2.7.3!F27/A2.7.3!F$29</f>
        <v>4.106571280277279E-2</v>
      </c>
      <c r="G27" s="639">
        <f>A2.7.3!G27/A2.7.3!G$29</f>
        <v>4.5326445057142766E-3</v>
      </c>
      <c r="H27" s="640">
        <f>A2.7.3!H27/A2.7.3!H$29</f>
        <v>4.1267983885154597E-2</v>
      </c>
      <c r="I27" s="639">
        <f>A2.7.3!I27/A2.7.3!I$29</f>
        <v>5.3904560619287365E-3</v>
      </c>
      <c r="J27" s="640">
        <f>A2.7.3!J27/A2.7.3!J$29</f>
        <v>4.5567572338048666E-2</v>
      </c>
      <c r="K27" s="639">
        <f>A2.7.3!K27/A2.7.3!K$29</f>
        <v>5.8102146549509123E-3</v>
      </c>
      <c r="L27" s="640">
        <f>A2.7.3!L27/A2.7.3!L$29</f>
        <v>5.0212573111532502E-2</v>
      </c>
    </row>
    <row r="28" spans="1:12" customFormat="1" ht="13.35" customHeight="1" x14ac:dyDescent="0.2">
      <c r="A28" s="1"/>
      <c r="B28" s="632"/>
      <c r="C28" s="280" t="s">
        <v>42</v>
      </c>
      <c r="D28" s="434" t="s">
        <v>66</v>
      </c>
      <c r="E28" s="641">
        <f>A2.7.3!E28/A2.7.3!E$29</f>
        <v>8.6817532800749107E-4</v>
      </c>
      <c r="F28" s="642">
        <f>A2.7.3!F28/A2.7.3!F$29</f>
        <v>1.5863686484671131E-2</v>
      </c>
      <c r="G28" s="641">
        <f>A2.7.3!G28/A2.7.3!G$29</f>
        <v>7.3508532485733386E-4</v>
      </c>
      <c r="H28" s="642">
        <f>A2.7.3!H28/A2.7.3!H$29</f>
        <v>1.7242296696956611E-2</v>
      </c>
      <c r="I28" s="641">
        <f>A2.7.3!I28/A2.7.3!I$29</f>
        <v>8.3220816023453004E-4</v>
      </c>
      <c r="J28" s="642">
        <f>A2.7.3!J28/A2.7.3!J$29</f>
        <v>1.7501621989084393E-2</v>
      </c>
      <c r="K28" s="641">
        <f>A2.7.3!K28/A2.7.3!K$29</f>
        <v>9.6534484585692859E-4</v>
      </c>
      <c r="L28" s="642">
        <f>A2.7.3!L28/A2.7.3!L$29</f>
        <v>2.3782441717780444E-2</v>
      </c>
    </row>
    <row r="29" spans="1:12" customFormat="1" ht="13.35" customHeight="1" x14ac:dyDescent="0.2">
      <c r="A29" s="1"/>
      <c r="B29" s="632"/>
      <c r="C29" s="635" t="s">
        <v>8</v>
      </c>
      <c r="D29" s="636"/>
      <c r="E29" s="643">
        <f>A2.7.3!E29/A2.7.3!E$29</f>
        <v>1</v>
      </c>
      <c r="F29" s="644">
        <f>A2.7.3!F29/A2.7.3!F$29</f>
        <v>1</v>
      </c>
      <c r="G29" s="643">
        <f>A2.7.3!G29/A2.7.3!G$29</f>
        <v>1</v>
      </c>
      <c r="H29" s="644">
        <f>A2.7.3!H29/A2.7.3!H$29</f>
        <v>1</v>
      </c>
      <c r="I29" s="643">
        <f>A2.7.3!I29/A2.7.3!I$29</f>
        <v>1</v>
      </c>
      <c r="J29" s="644">
        <f>A2.7.3!J29/A2.7.3!J$29</f>
        <v>1</v>
      </c>
      <c r="K29" s="643">
        <f>A2.7.3!K29/A2.7.3!K$29</f>
        <v>1</v>
      </c>
      <c r="L29" s="644">
        <f>A2.7.3!L29/A2.7.3!L$29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3">
    <mergeCell ref="C3:D3"/>
    <mergeCell ref="B1:L1"/>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523</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54">
        <v>44890</v>
      </c>
      <c r="F4" s="655">
        <v>1389.5284610000001</v>
      </c>
      <c r="G4" s="654">
        <v>46374</v>
      </c>
      <c r="H4" s="655">
        <v>1580.9479779999999</v>
      </c>
      <c r="I4" s="654">
        <v>45866</v>
      </c>
      <c r="J4" s="655">
        <v>1800.5461310000001</v>
      </c>
      <c r="K4" s="654">
        <v>42827</v>
      </c>
      <c r="L4" s="655">
        <v>1766.2719320000001</v>
      </c>
    </row>
    <row r="5" spans="1:12" ht="13.35" customHeight="1" x14ac:dyDescent="0.2">
      <c r="B5" s="145"/>
      <c r="C5" s="16" t="s">
        <v>19</v>
      </c>
      <c r="D5" s="339" t="s">
        <v>129</v>
      </c>
      <c r="E5" s="654">
        <v>56</v>
      </c>
      <c r="F5" s="655">
        <v>1.050014</v>
      </c>
      <c r="G5" s="654">
        <v>67</v>
      </c>
      <c r="H5" s="655">
        <v>1.5467109999999999</v>
      </c>
      <c r="I5" s="654">
        <v>44</v>
      </c>
      <c r="J5" s="655">
        <v>0.90862200000000004</v>
      </c>
      <c r="K5" s="654">
        <v>25</v>
      </c>
      <c r="L5" s="655">
        <v>0.54679599999999995</v>
      </c>
    </row>
    <row r="6" spans="1:12" ht="13.35" customHeight="1" x14ac:dyDescent="0.2">
      <c r="B6" s="145"/>
      <c r="C6" s="16" t="s">
        <v>20</v>
      </c>
      <c r="D6" s="338" t="s">
        <v>44</v>
      </c>
      <c r="E6" s="654">
        <v>30474</v>
      </c>
      <c r="F6" s="655">
        <v>546.89696300000003</v>
      </c>
      <c r="G6" s="654">
        <v>34090</v>
      </c>
      <c r="H6" s="655">
        <v>592.68040399999995</v>
      </c>
      <c r="I6" s="654">
        <v>32275</v>
      </c>
      <c r="J6" s="655">
        <v>625.98531800000001</v>
      </c>
      <c r="K6" s="654">
        <v>27858</v>
      </c>
      <c r="L6" s="655">
        <v>612.31872299999998</v>
      </c>
    </row>
    <row r="7" spans="1:12" ht="13.35" customHeight="1" x14ac:dyDescent="0.2">
      <c r="B7" s="145"/>
      <c r="C7" s="16" t="s">
        <v>21</v>
      </c>
      <c r="D7" s="338" t="s">
        <v>45</v>
      </c>
      <c r="E7" s="654">
        <v>25585</v>
      </c>
      <c r="F7" s="655">
        <v>406.63855799999999</v>
      </c>
      <c r="G7" s="654">
        <v>28108</v>
      </c>
      <c r="H7" s="655">
        <v>431.83729799999998</v>
      </c>
      <c r="I7" s="654">
        <v>25631</v>
      </c>
      <c r="J7" s="655">
        <v>456.36312700000002</v>
      </c>
      <c r="K7" s="654">
        <v>21749</v>
      </c>
      <c r="L7" s="655">
        <v>421.82995199999999</v>
      </c>
    </row>
    <row r="8" spans="1:12" ht="13.35" customHeight="1" x14ac:dyDescent="0.2">
      <c r="B8" s="145"/>
      <c r="C8" s="16" t="s">
        <v>22</v>
      </c>
      <c r="D8" s="338" t="s">
        <v>46</v>
      </c>
      <c r="E8" s="654">
        <v>36034</v>
      </c>
      <c r="F8" s="655">
        <v>536.23686499999997</v>
      </c>
      <c r="G8" s="654">
        <v>36748</v>
      </c>
      <c r="H8" s="655">
        <v>560.26200900000003</v>
      </c>
      <c r="I8" s="654">
        <v>34606</v>
      </c>
      <c r="J8" s="655">
        <v>602.99475199999995</v>
      </c>
      <c r="K8" s="654">
        <v>28568</v>
      </c>
      <c r="L8" s="655">
        <v>538.941643</v>
      </c>
    </row>
    <row r="9" spans="1:12" ht="13.35" customHeight="1" x14ac:dyDescent="0.2">
      <c r="B9" s="145"/>
      <c r="C9" s="16" t="s">
        <v>23</v>
      </c>
      <c r="D9" s="338" t="s">
        <v>47</v>
      </c>
      <c r="E9" s="654">
        <v>55490</v>
      </c>
      <c r="F9" s="655">
        <v>735.83390299999996</v>
      </c>
      <c r="G9" s="654">
        <v>47232</v>
      </c>
      <c r="H9" s="655">
        <v>700.99143900000001</v>
      </c>
      <c r="I9" s="654">
        <v>44522</v>
      </c>
      <c r="J9" s="655">
        <v>771.30935199999999</v>
      </c>
      <c r="K9" s="654">
        <v>40064</v>
      </c>
      <c r="L9" s="655">
        <v>741.74267599999996</v>
      </c>
    </row>
    <row r="10" spans="1:12" s="50" customFormat="1" ht="13.35" customHeight="1" x14ac:dyDescent="0.2">
      <c r="B10" s="145"/>
      <c r="C10" s="16" t="s">
        <v>24</v>
      </c>
      <c r="D10" s="338" t="s">
        <v>48</v>
      </c>
      <c r="E10" s="654">
        <v>77291</v>
      </c>
      <c r="F10" s="655">
        <v>830.49628099999995</v>
      </c>
      <c r="G10" s="654">
        <v>73787</v>
      </c>
      <c r="H10" s="655">
        <v>924.12834299999997</v>
      </c>
      <c r="I10" s="654">
        <v>67221</v>
      </c>
      <c r="J10" s="655">
        <v>1122.7878700000001</v>
      </c>
      <c r="K10" s="654">
        <v>54965</v>
      </c>
      <c r="L10" s="655">
        <v>981.82247099999995</v>
      </c>
    </row>
    <row r="11" spans="1:12" s="1" customFormat="1" ht="13.35" customHeight="1" x14ac:dyDescent="0.2">
      <c r="B11" s="631"/>
      <c r="C11" s="16" t="s">
        <v>25</v>
      </c>
      <c r="D11" s="338" t="s">
        <v>49</v>
      </c>
      <c r="E11" s="654">
        <v>90724</v>
      </c>
      <c r="F11" s="655">
        <v>883.82235100000003</v>
      </c>
      <c r="G11" s="654">
        <v>100404</v>
      </c>
      <c r="H11" s="655">
        <v>1010.016332</v>
      </c>
      <c r="I11" s="654">
        <v>90722</v>
      </c>
      <c r="J11" s="655">
        <v>1514.4053429999999</v>
      </c>
      <c r="K11" s="654">
        <v>72691</v>
      </c>
      <c r="L11" s="655">
        <v>1278.509059</v>
      </c>
    </row>
    <row r="12" spans="1:12" s="1" customFormat="1" ht="13.35" customHeight="1" x14ac:dyDescent="0.2">
      <c r="B12" s="631"/>
      <c r="C12" s="16" t="s">
        <v>26</v>
      </c>
      <c r="D12" s="338" t="s">
        <v>50</v>
      </c>
      <c r="E12" s="654">
        <v>95601</v>
      </c>
      <c r="F12" s="655">
        <v>936.87712099999999</v>
      </c>
      <c r="G12" s="654">
        <v>104417</v>
      </c>
      <c r="H12" s="655">
        <v>1047.6247679999999</v>
      </c>
      <c r="I12" s="654">
        <v>116670</v>
      </c>
      <c r="J12" s="655">
        <v>1938.6290080000001</v>
      </c>
      <c r="K12" s="654">
        <v>97348</v>
      </c>
      <c r="L12" s="655">
        <v>1746.8026500000001</v>
      </c>
    </row>
    <row r="13" spans="1:12" s="1" customFormat="1" ht="13.35" customHeight="1" x14ac:dyDescent="0.2">
      <c r="B13" s="631"/>
      <c r="C13" s="16" t="s">
        <v>27</v>
      </c>
      <c r="D13" s="338" t="s">
        <v>51</v>
      </c>
      <c r="E13" s="654">
        <v>97464</v>
      </c>
      <c r="F13" s="655">
        <v>920.42002200000002</v>
      </c>
      <c r="G13" s="654">
        <v>105031</v>
      </c>
      <c r="H13" s="655">
        <v>1083.743518</v>
      </c>
      <c r="I13" s="654">
        <v>112066</v>
      </c>
      <c r="J13" s="655">
        <v>1950.8148630000001</v>
      </c>
      <c r="K13" s="654">
        <v>111686</v>
      </c>
      <c r="L13" s="655">
        <v>2009.402777</v>
      </c>
    </row>
    <row r="14" spans="1:12" s="1" customFormat="1" ht="13.35" customHeight="1" x14ac:dyDescent="0.2">
      <c r="B14" s="631"/>
      <c r="C14" s="16" t="s">
        <v>28</v>
      </c>
      <c r="D14" s="338" t="s">
        <v>52</v>
      </c>
      <c r="E14" s="654">
        <v>105900</v>
      </c>
      <c r="F14" s="655">
        <v>970.29064400000004</v>
      </c>
      <c r="G14" s="654">
        <v>105503</v>
      </c>
      <c r="H14" s="655">
        <v>1045.9993059999999</v>
      </c>
      <c r="I14" s="654">
        <v>106372</v>
      </c>
      <c r="J14" s="655">
        <v>1893.757642</v>
      </c>
      <c r="K14" s="654">
        <v>110982</v>
      </c>
      <c r="L14" s="655">
        <v>2061.2025819999999</v>
      </c>
    </row>
    <row r="15" spans="1:12" customFormat="1" ht="13.35" customHeight="1" x14ac:dyDescent="0.2">
      <c r="A15" s="1"/>
      <c r="B15" s="631"/>
      <c r="C15" s="16" t="s">
        <v>29</v>
      </c>
      <c r="D15" s="338" t="s">
        <v>53</v>
      </c>
      <c r="E15" s="654">
        <v>115767</v>
      </c>
      <c r="F15" s="655">
        <v>999.13137800000004</v>
      </c>
      <c r="G15" s="654">
        <v>106844</v>
      </c>
      <c r="H15" s="655">
        <v>1036.182006</v>
      </c>
      <c r="I15" s="654">
        <v>110396</v>
      </c>
      <c r="J15" s="655">
        <v>1968.379027</v>
      </c>
      <c r="K15" s="654">
        <v>104745</v>
      </c>
      <c r="L15" s="655">
        <v>1969.051678</v>
      </c>
    </row>
    <row r="16" spans="1:12" customFormat="1" ht="13.35" customHeight="1" x14ac:dyDescent="0.2">
      <c r="A16" s="1"/>
      <c r="B16" s="631"/>
      <c r="C16" s="16" t="s">
        <v>30</v>
      </c>
      <c r="D16" s="338" t="s">
        <v>54</v>
      </c>
      <c r="E16" s="654">
        <v>105738</v>
      </c>
      <c r="F16" s="655">
        <v>976.64544899999999</v>
      </c>
      <c r="G16" s="654">
        <v>113620</v>
      </c>
      <c r="H16" s="655">
        <v>1069.7846219999999</v>
      </c>
      <c r="I16" s="654">
        <v>113345</v>
      </c>
      <c r="J16" s="655">
        <v>2109.7668100000001</v>
      </c>
      <c r="K16" s="654">
        <v>105197</v>
      </c>
      <c r="L16" s="655">
        <v>1981.2723739999999</v>
      </c>
    </row>
    <row r="17" spans="1:12" customFormat="1" ht="13.35" customHeight="1" x14ac:dyDescent="0.2">
      <c r="A17" s="1"/>
      <c r="B17" s="631"/>
      <c r="C17" s="16" t="s">
        <v>31</v>
      </c>
      <c r="D17" s="338" t="s">
        <v>55</v>
      </c>
      <c r="E17" s="654">
        <v>118216</v>
      </c>
      <c r="F17" s="655">
        <v>1025.5973939999999</v>
      </c>
      <c r="G17" s="654">
        <v>101329</v>
      </c>
      <c r="H17" s="655">
        <v>996.02781100000004</v>
      </c>
      <c r="I17" s="654">
        <v>122843</v>
      </c>
      <c r="J17" s="655">
        <v>2284.3025080000002</v>
      </c>
      <c r="K17" s="654">
        <v>108409</v>
      </c>
      <c r="L17" s="655">
        <v>2128.9244480000002</v>
      </c>
    </row>
    <row r="18" spans="1:12" customFormat="1" ht="13.35" customHeight="1" x14ac:dyDescent="0.2">
      <c r="A18" s="1"/>
      <c r="B18" s="631"/>
      <c r="C18" s="16" t="s">
        <v>32</v>
      </c>
      <c r="D18" s="338" t="s">
        <v>56</v>
      </c>
      <c r="E18" s="654">
        <v>114261</v>
      </c>
      <c r="F18" s="655">
        <v>920.10091</v>
      </c>
      <c r="G18" s="654">
        <v>93168</v>
      </c>
      <c r="H18" s="655">
        <v>981.64093800000001</v>
      </c>
      <c r="I18" s="654">
        <v>112103</v>
      </c>
      <c r="J18" s="655">
        <v>2053.819759</v>
      </c>
      <c r="K18" s="654">
        <v>125700</v>
      </c>
      <c r="L18" s="655">
        <v>2443.1565700000001</v>
      </c>
    </row>
    <row r="19" spans="1:12" customFormat="1" ht="13.35" customHeight="1" x14ac:dyDescent="0.2">
      <c r="A19" s="1"/>
      <c r="B19" s="631"/>
      <c r="C19" s="16" t="s">
        <v>33</v>
      </c>
      <c r="D19" s="338" t="s">
        <v>57</v>
      </c>
      <c r="E19" s="654">
        <v>95391</v>
      </c>
      <c r="F19" s="655">
        <v>854.66280099999994</v>
      </c>
      <c r="G19" s="654">
        <v>101650</v>
      </c>
      <c r="H19" s="655">
        <v>1021.022251</v>
      </c>
      <c r="I19" s="654">
        <v>107496</v>
      </c>
      <c r="J19" s="655">
        <v>1980.432638</v>
      </c>
      <c r="K19" s="654">
        <v>108158</v>
      </c>
      <c r="L19" s="655">
        <v>2071.9998019999998</v>
      </c>
    </row>
    <row r="20" spans="1:12" customFormat="1" ht="13.35" customHeight="1" x14ac:dyDescent="0.2">
      <c r="A20" s="1"/>
      <c r="B20" s="631"/>
      <c r="C20" s="16" t="s">
        <v>34</v>
      </c>
      <c r="D20" s="338" t="s">
        <v>58</v>
      </c>
      <c r="E20" s="654">
        <v>360609</v>
      </c>
      <c r="F20" s="655">
        <v>3235.3170700000001</v>
      </c>
      <c r="G20" s="654">
        <v>403284</v>
      </c>
      <c r="H20" s="655">
        <v>4121.4596750000001</v>
      </c>
      <c r="I20" s="654">
        <v>519290</v>
      </c>
      <c r="J20" s="655">
        <v>10104.977529</v>
      </c>
      <c r="K20" s="654">
        <v>491383</v>
      </c>
      <c r="L20" s="655">
        <v>10239.457294</v>
      </c>
    </row>
    <row r="21" spans="1:12" customFormat="1" ht="13.35" customHeight="1" x14ac:dyDescent="0.2">
      <c r="A21" s="1"/>
      <c r="B21" s="631"/>
      <c r="C21" s="16" t="s">
        <v>35</v>
      </c>
      <c r="D21" s="338" t="s">
        <v>59</v>
      </c>
      <c r="E21" s="654">
        <v>310269</v>
      </c>
      <c r="F21" s="655">
        <v>3192.0365080000001</v>
      </c>
      <c r="G21" s="654">
        <v>350116</v>
      </c>
      <c r="H21" s="655">
        <v>4135.0460249999996</v>
      </c>
      <c r="I21" s="654">
        <v>526144</v>
      </c>
      <c r="J21" s="655">
        <v>10525.929149</v>
      </c>
      <c r="K21" s="654">
        <v>579765</v>
      </c>
      <c r="L21" s="655">
        <v>12538.961063000001</v>
      </c>
    </row>
    <row r="22" spans="1:12" customFormat="1" ht="13.35" customHeight="1" x14ac:dyDescent="0.2">
      <c r="A22" s="1"/>
      <c r="B22" s="631"/>
      <c r="C22" s="16" t="s">
        <v>36</v>
      </c>
      <c r="D22" s="338" t="s">
        <v>60</v>
      </c>
      <c r="E22" s="654">
        <v>141990</v>
      </c>
      <c r="F22" s="655">
        <v>1542.192157</v>
      </c>
      <c r="G22" s="654">
        <v>155072</v>
      </c>
      <c r="H22" s="655">
        <v>1985.727142</v>
      </c>
      <c r="I22" s="654">
        <v>240297</v>
      </c>
      <c r="J22" s="655">
        <v>4918.7526260000004</v>
      </c>
      <c r="K22" s="654">
        <v>257624</v>
      </c>
      <c r="L22" s="655">
        <v>5625.8504249999996</v>
      </c>
    </row>
    <row r="23" spans="1:12" customFormat="1" ht="13.35" customHeight="1" x14ac:dyDescent="0.2">
      <c r="A23" s="1"/>
      <c r="B23" s="631"/>
      <c r="C23" s="16" t="s">
        <v>37</v>
      </c>
      <c r="D23" s="338" t="s">
        <v>61</v>
      </c>
      <c r="E23" s="654">
        <v>72231</v>
      </c>
      <c r="F23" s="655">
        <v>819.77205700000002</v>
      </c>
      <c r="G23" s="654">
        <v>76862</v>
      </c>
      <c r="H23" s="655">
        <v>1056.6764439999999</v>
      </c>
      <c r="I23" s="654">
        <v>125710</v>
      </c>
      <c r="J23" s="655">
        <v>2622.0660360000002</v>
      </c>
      <c r="K23" s="654">
        <v>142624</v>
      </c>
      <c r="L23" s="655">
        <v>3181.0797299999999</v>
      </c>
    </row>
    <row r="24" spans="1:12" customFormat="1" ht="13.35" customHeight="1" x14ac:dyDescent="0.2">
      <c r="A24" s="1"/>
      <c r="B24" s="631"/>
      <c r="C24" s="16" t="s">
        <v>38</v>
      </c>
      <c r="D24" s="338" t="s">
        <v>62</v>
      </c>
      <c r="E24" s="654">
        <v>68668</v>
      </c>
      <c r="F24" s="655">
        <v>855.18045500000005</v>
      </c>
      <c r="G24" s="654">
        <v>77700</v>
      </c>
      <c r="H24" s="655">
        <v>1143.41282</v>
      </c>
      <c r="I24" s="654">
        <v>138885</v>
      </c>
      <c r="J24" s="655">
        <v>2906.0924570000002</v>
      </c>
      <c r="K24" s="654">
        <v>155648</v>
      </c>
      <c r="L24" s="655">
        <v>3504.4525269999999</v>
      </c>
    </row>
    <row r="25" spans="1:12" customFormat="1" ht="13.35" customHeight="1" x14ac:dyDescent="0.2">
      <c r="A25" s="1"/>
      <c r="B25" s="631"/>
      <c r="C25" s="16" t="s">
        <v>39</v>
      </c>
      <c r="D25" s="338" t="s">
        <v>63</v>
      </c>
      <c r="E25" s="654">
        <v>22263</v>
      </c>
      <c r="F25" s="655">
        <v>303.60608100000002</v>
      </c>
      <c r="G25" s="654">
        <v>23276</v>
      </c>
      <c r="H25" s="655">
        <v>388.69311699999997</v>
      </c>
      <c r="I25" s="654">
        <v>46431</v>
      </c>
      <c r="J25" s="655">
        <v>995.89099599999997</v>
      </c>
      <c r="K25" s="654">
        <v>55109</v>
      </c>
      <c r="L25" s="655">
        <v>1261.1892769999999</v>
      </c>
    </row>
    <row r="26" spans="1:12" customFormat="1" ht="13.35" customHeight="1" x14ac:dyDescent="0.2">
      <c r="A26" s="1"/>
      <c r="B26" s="631"/>
      <c r="C26" s="16" t="s">
        <v>40</v>
      </c>
      <c r="D26" s="338" t="s">
        <v>64</v>
      </c>
      <c r="E26" s="654">
        <v>19813</v>
      </c>
      <c r="F26" s="655">
        <v>293.92825599999998</v>
      </c>
      <c r="G26" s="654">
        <v>19032</v>
      </c>
      <c r="H26" s="655">
        <v>336.72846500000003</v>
      </c>
      <c r="I26" s="654">
        <v>41611</v>
      </c>
      <c r="J26" s="655">
        <v>928.85833300000002</v>
      </c>
      <c r="K26" s="654">
        <v>47991</v>
      </c>
      <c r="L26" s="655">
        <v>1147.0014080000001</v>
      </c>
    </row>
    <row r="27" spans="1:12" customFormat="1" ht="13.35" customHeight="1" x14ac:dyDescent="0.2">
      <c r="A27" s="1"/>
      <c r="B27" s="631"/>
      <c r="C27" s="16" t="s">
        <v>41</v>
      </c>
      <c r="D27" s="338" t="s">
        <v>65</v>
      </c>
      <c r="E27" s="654">
        <v>5022</v>
      </c>
      <c r="F27" s="655">
        <v>75.957870999999997</v>
      </c>
      <c r="G27" s="654">
        <v>4662</v>
      </c>
      <c r="H27" s="655">
        <v>88.569609</v>
      </c>
      <c r="I27" s="654">
        <v>10965</v>
      </c>
      <c r="J27" s="655">
        <v>249.46813700000001</v>
      </c>
      <c r="K27" s="654">
        <v>11980</v>
      </c>
      <c r="L27" s="655">
        <v>301.35522600000002</v>
      </c>
    </row>
    <row r="28" spans="1:12" customFormat="1" ht="13.35" customHeight="1" x14ac:dyDescent="0.2">
      <c r="A28" s="1"/>
      <c r="B28" s="632"/>
      <c r="C28" s="280" t="s">
        <v>42</v>
      </c>
      <c r="D28" s="434" t="s">
        <v>66</v>
      </c>
      <c r="E28" s="656">
        <v>913</v>
      </c>
      <c r="F28" s="657">
        <v>14.854165</v>
      </c>
      <c r="G28" s="656">
        <v>776</v>
      </c>
      <c r="H28" s="657">
        <v>15.01397</v>
      </c>
      <c r="I28" s="656">
        <v>1803</v>
      </c>
      <c r="J28" s="657">
        <v>44.459201</v>
      </c>
      <c r="K28" s="656">
        <v>2122</v>
      </c>
      <c r="L28" s="657">
        <v>55.908014999999999</v>
      </c>
    </row>
    <row r="29" spans="1:12" customFormat="1" ht="13.35" customHeight="1" x14ac:dyDescent="0.2">
      <c r="A29" s="1"/>
      <c r="B29" s="632"/>
      <c r="C29" s="635" t="s">
        <v>8</v>
      </c>
      <c r="D29" s="636"/>
      <c r="E29" s="658">
        <f t="shared" ref="E29:L29" si="0">SUM(E4:E28)</f>
        <v>2210660</v>
      </c>
      <c r="F29" s="659">
        <f t="shared" si="0"/>
        <v>23267.073735000002</v>
      </c>
      <c r="G29" s="658">
        <f t="shared" si="0"/>
        <v>2309152</v>
      </c>
      <c r="H29" s="659">
        <f t="shared" si="0"/>
        <v>27355.763000999999</v>
      </c>
      <c r="I29" s="658">
        <f t="shared" si="0"/>
        <v>2893314</v>
      </c>
      <c r="J29" s="659">
        <f t="shared" si="0"/>
        <v>56371.697234000007</v>
      </c>
      <c r="K29" s="658">
        <f t="shared" si="0"/>
        <v>2905218</v>
      </c>
      <c r="L29" s="659">
        <f t="shared" si="0"/>
        <v>60609.051097999989</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A2.7.1!E8-E29</f>
        <v>0</v>
      </c>
      <c r="F34" s="84">
        <f>A2.7.1!F8-F29</f>
        <v>0</v>
      </c>
      <c r="G34" s="84">
        <f>A2.7.1!G8-G29</f>
        <v>0</v>
      </c>
      <c r="H34" s="84">
        <f>A2.7.1!H8-H29</f>
        <v>0</v>
      </c>
      <c r="I34" s="84">
        <f>A2.7.1!I8-I29</f>
        <v>0</v>
      </c>
      <c r="J34" s="84">
        <f>A2.7.1!J8-J29</f>
        <v>0</v>
      </c>
      <c r="K34" s="84">
        <f>A2.7.1!K8-K29</f>
        <v>0</v>
      </c>
      <c r="L34" s="107">
        <f>A2.7.1!L8-L29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15" customHeight="1" x14ac:dyDescent="0.2">
      <c r="A1" s="69"/>
      <c r="B1" s="439" t="s">
        <v>522</v>
      </c>
      <c r="C1" s="311"/>
      <c r="D1" s="311"/>
      <c r="E1" s="311"/>
      <c r="F1" s="311"/>
      <c r="G1" s="311"/>
      <c r="H1" s="311"/>
      <c r="I1" s="311"/>
      <c r="J1" s="311"/>
      <c r="K1" s="311"/>
      <c r="L1" s="311"/>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A2.7.4!E4/A2.7.4!E$29</f>
        <v>2.0306152913609512E-2</v>
      </c>
      <c r="F4" s="640">
        <f>A2.7.4!F4/A2.7.4!F$29</f>
        <v>5.9720808762890182E-2</v>
      </c>
      <c r="G4" s="639">
        <f>A2.7.4!G4/A2.7.4!G$29</f>
        <v>2.0082697024708638E-2</v>
      </c>
      <c r="H4" s="640">
        <f>A2.7.4!H4/A2.7.4!H$29</f>
        <v>5.7792136082704323E-2</v>
      </c>
      <c r="I4" s="639">
        <f>A2.7.4!I4/A2.7.4!I$29</f>
        <v>1.5852410073707867E-2</v>
      </c>
      <c r="J4" s="640">
        <f>A2.7.4!J4/A2.7.4!J$29</f>
        <v>3.1940605292153937E-2</v>
      </c>
      <c r="K4" s="639">
        <f>A2.7.4!K4/A2.7.4!K$29</f>
        <v>1.4741406668965978E-2</v>
      </c>
      <c r="L4" s="640">
        <f>A2.7.4!L4/A2.7.4!L$29</f>
        <v>2.9142048918470602E-2</v>
      </c>
    </row>
    <row r="5" spans="1:12" ht="13.35" customHeight="1" x14ac:dyDescent="0.2">
      <c r="B5" s="145"/>
      <c r="C5" s="16" t="s">
        <v>19</v>
      </c>
      <c r="D5" s="339" t="s">
        <v>129</v>
      </c>
      <c r="E5" s="639">
        <f>A2.7.4!E5/A2.7.4!E$29</f>
        <v>2.533180136248903E-5</v>
      </c>
      <c r="F5" s="640">
        <f>A2.7.4!F5/A2.7.4!F$29</f>
        <v>4.5128751984848596E-5</v>
      </c>
      <c r="G5" s="639">
        <f>A2.7.4!G5/A2.7.4!G$29</f>
        <v>2.901498039106997E-5</v>
      </c>
      <c r="H5" s="640">
        <f>A2.7.4!H5/A2.7.4!H$29</f>
        <v>5.6540590731958722E-5</v>
      </c>
      <c r="I5" s="639">
        <f>A2.7.4!I5/A2.7.4!I$29</f>
        <v>1.520747488865709E-5</v>
      </c>
      <c r="J5" s="640">
        <f>A2.7.4!J5/A2.7.4!J$29</f>
        <v>1.6118407722022144E-5</v>
      </c>
      <c r="K5" s="639">
        <f>A2.7.4!K5/A2.7.4!K$29</f>
        <v>8.6052062186039045E-6</v>
      </c>
      <c r="L5" s="640">
        <f>A2.7.4!L5/A2.7.4!L$29</f>
        <v>9.0216888417519451E-6</v>
      </c>
    </row>
    <row r="6" spans="1:12" ht="13.35" customHeight="1" x14ac:dyDescent="0.2">
      <c r="B6" s="145"/>
      <c r="C6" s="16" t="s">
        <v>20</v>
      </c>
      <c r="D6" s="338" t="s">
        <v>44</v>
      </c>
      <c r="E6" s="639">
        <f>A2.7.4!E6/A2.7.4!E$29</f>
        <v>1.3785023477151621E-2</v>
      </c>
      <c r="F6" s="640">
        <f>A2.7.4!F6/A2.7.4!F$29</f>
        <v>2.3505188887475711E-2</v>
      </c>
      <c r="G6" s="639">
        <f>A2.7.4!G6/A2.7.4!G$29</f>
        <v>1.4762995246739928E-2</v>
      </c>
      <c r="H6" s="640">
        <f>A2.7.4!H6/A2.7.4!H$29</f>
        <v>2.1665650633774475E-2</v>
      </c>
      <c r="I6" s="639">
        <f>A2.7.4!I6/A2.7.4!I$29</f>
        <v>1.1155028455259263E-2</v>
      </c>
      <c r="J6" s="640">
        <f>A2.7.4!J6/A2.7.4!J$29</f>
        <v>1.1104602996101444E-2</v>
      </c>
      <c r="K6" s="639">
        <f>A2.7.4!K6/A2.7.4!K$29</f>
        <v>9.5889533935147042E-3</v>
      </c>
      <c r="L6" s="640">
        <f>A2.7.4!L6/A2.7.4!L$29</f>
        <v>1.0102760427810189E-2</v>
      </c>
    </row>
    <row r="7" spans="1:12" ht="13.35" customHeight="1" x14ac:dyDescent="0.2">
      <c r="B7" s="145"/>
      <c r="C7" s="16" t="s">
        <v>21</v>
      </c>
      <c r="D7" s="338" t="s">
        <v>45</v>
      </c>
      <c r="E7" s="639">
        <f>A2.7.4!E7/A2.7.4!E$29</f>
        <v>1.1573466747487176E-2</v>
      </c>
      <c r="F7" s="640">
        <f>A2.7.4!F7/A2.7.4!F$29</f>
        <v>1.7476996146202309E-2</v>
      </c>
      <c r="G7" s="639">
        <f>A2.7.4!G7/A2.7.4!G$29</f>
        <v>1.2172433863167085E-2</v>
      </c>
      <c r="H7" s="640">
        <f>A2.7.4!H7/A2.7.4!H$29</f>
        <v>1.5785971606210144E-2</v>
      </c>
      <c r="I7" s="639">
        <f>A2.7.4!I7/A2.7.4!I$29</f>
        <v>8.8586997470720425E-3</v>
      </c>
      <c r="J7" s="640">
        <f>A2.7.4!J7/A2.7.4!J$29</f>
        <v>8.0956073595873455E-3</v>
      </c>
      <c r="K7" s="639">
        <f>A2.7.4!K7/A2.7.4!K$29</f>
        <v>7.4861852019366534E-3</v>
      </c>
      <c r="L7" s="640">
        <f>A2.7.4!L7/A2.7.4!L$29</f>
        <v>6.9598507872683027E-3</v>
      </c>
    </row>
    <row r="8" spans="1:12" ht="13.35" customHeight="1" x14ac:dyDescent="0.2">
      <c r="B8" s="145"/>
      <c r="C8" s="16" t="s">
        <v>22</v>
      </c>
      <c r="D8" s="338" t="s">
        <v>46</v>
      </c>
      <c r="E8" s="639">
        <f>A2.7.4!E8/A2.7.4!E$29</f>
        <v>1.6300109469570175E-2</v>
      </c>
      <c r="F8" s="640">
        <f>A2.7.4!F8/A2.7.4!F$29</f>
        <v>2.304702650223496E-2</v>
      </c>
      <c r="G8" s="639">
        <f>A2.7.4!G8/A2.7.4!G$29</f>
        <v>1.5914067155388643E-2</v>
      </c>
      <c r="H8" s="640">
        <f>A2.7.4!H8/A2.7.4!H$29</f>
        <v>2.048058425493449E-2</v>
      </c>
      <c r="I8" s="639">
        <f>A2.7.4!I8/A2.7.4!I$29</f>
        <v>1.1960678999928802E-2</v>
      </c>
      <c r="J8" s="640">
        <f>A2.7.4!J8/A2.7.4!J$29</f>
        <v>1.0696764184639626E-2</v>
      </c>
      <c r="K8" s="639">
        <f>A2.7.4!K8/A2.7.4!K$29</f>
        <v>9.8333412501230549E-3</v>
      </c>
      <c r="L8" s="640">
        <f>A2.7.4!L8/A2.7.4!L$29</f>
        <v>8.8920983456509568E-3</v>
      </c>
    </row>
    <row r="9" spans="1:12" ht="13.35" customHeight="1" x14ac:dyDescent="0.2">
      <c r="B9" s="145"/>
      <c r="C9" s="16" t="s">
        <v>23</v>
      </c>
      <c r="D9" s="338" t="s">
        <v>47</v>
      </c>
      <c r="E9" s="639">
        <f>A2.7.4!E9/A2.7.4!E$29</f>
        <v>2.5101101028652078E-2</v>
      </c>
      <c r="F9" s="640">
        <f>A2.7.4!F9/A2.7.4!F$29</f>
        <v>3.1625545669419775E-2</v>
      </c>
      <c r="G9" s="639">
        <f>A2.7.4!G9/A2.7.4!G$29</f>
        <v>2.0454261997477862E-2</v>
      </c>
      <c r="H9" s="640">
        <f>A2.7.4!H9/A2.7.4!H$29</f>
        <v>2.5625000442297114E-2</v>
      </c>
      <c r="I9" s="639">
        <f>A2.7.4!I9/A2.7.4!I$29</f>
        <v>1.5387890840745249E-2</v>
      </c>
      <c r="J9" s="640">
        <f>A2.7.4!J9/A2.7.4!J$29</f>
        <v>1.368256394336115E-2</v>
      </c>
      <c r="K9" s="639">
        <f>A2.7.4!K9/A2.7.4!K$29</f>
        <v>1.3790359277685875E-2</v>
      </c>
      <c r="L9" s="640">
        <f>A2.7.4!L9/A2.7.4!L$29</f>
        <v>1.22381502855186E-2</v>
      </c>
    </row>
    <row r="10" spans="1:12" s="50" customFormat="1" ht="13.35" customHeight="1" x14ac:dyDescent="0.2">
      <c r="B10" s="145"/>
      <c r="C10" s="16" t="s">
        <v>24</v>
      </c>
      <c r="D10" s="338" t="s">
        <v>48</v>
      </c>
      <c r="E10" s="639">
        <f>A2.7.4!E10/A2.7.4!E$29</f>
        <v>3.496286176978821E-2</v>
      </c>
      <c r="F10" s="640">
        <f>A2.7.4!F10/A2.7.4!F$29</f>
        <v>3.569405806930967E-2</v>
      </c>
      <c r="G10" s="639">
        <f>A2.7.4!G10/A2.7.4!G$29</f>
        <v>3.1954154598744476E-2</v>
      </c>
      <c r="H10" s="640">
        <f>A2.7.4!H10/A2.7.4!H$29</f>
        <v>3.3781852217619306E-2</v>
      </c>
      <c r="I10" s="639">
        <f>A2.7.4!I10/A2.7.4!I$29</f>
        <v>2.3233219761145868E-2</v>
      </c>
      <c r="J10" s="640">
        <f>A2.7.4!J10/A2.7.4!J$29</f>
        <v>1.9917581429902419E-2</v>
      </c>
      <c r="K10" s="639">
        <f>A2.7.4!K10/A2.7.4!K$29</f>
        <v>1.8919406392222546E-2</v>
      </c>
      <c r="L10" s="640">
        <f>A2.7.4!L10/A2.7.4!L$29</f>
        <v>1.619927144895358E-2</v>
      </c>
    </row>
    <row r="11" spans="1:12" s="1" customFormat="1" ht="13.35" customHeight="1" x14ac:dyDescent="0.2">
      <c r="B11" s="631"/>
      <c r="C11" s="16" t="s">
        <v>25</v>
      </c>
      <c r="D11" s="338" t="s">
        <v>49</v>
      </c>
      <c r="E11" s="639">
        <f>A2.7.4!E11/A2.7.4!E$29</f>
        <v>4.1039327621615267E-2</v>
      </c>
      <c r="F11" s="640">
        <f>A2.7.4!F11/A2.7.4!F$29</f>
        <v>3.7985969403212534E-2</v>
      </c>
      <c r="G11" s="639">
        <f>A2.7.4!G11/A2.7.4!G$29</f>
        <v>4.3480896883358044E-2</v>
      </c>
      <c r="H11" s="640">
        <f>A2.7.4!H11/A2.7.4!H$29</f>
        <v>3.6921519314342593E-2</v>
      </c>
      <c r="I11" s="639">
        <f>A2.7.4!I11/A2.7.4!I$29</f>
        <v>3.1355739473835194E-2</v>
      </c>
      <c r="J11" s="640">
        <f>A2.7.4!J11/A2.7.4!J$29</f>
        <v>2.6864639833597239E-2</v>
      </c>
      <c r="K11" s="639">
        <f>A2.7.4!K11/A2.7.4!K$29</f>
        <v>2.5020841809461458E-2</v>
      </c>
      <c r="L11" s="640">
        <f>A2.7.4!L11/A2.7.4!L$29</f>
        <v>2.1094358612094966E-2</v>
      </c>
    </row>
    <row r="12" spans="1:12" s="1" customFormat="1" ht="13.35" customHeight="1" x14ac:dyDescent="0.2">
      <c r="B12" s="631"/>
      <c r="C12" s="16" t="s">
        <v>26</v>
      </c>
      <c r="D12" s="338" t="s">
        <v>50</v>
      </c>
      <c r="E12" s="639">
        <f>A2.7.4!E12/A2.7.4!E$29</f>
        <v>4.3245456108130603E-2</v>
      </c>
      <c r="F12" s="640">
        <f>A2.7.4!F12/A2.7.4!F$29</f>
        <v>4.0266220482667842E-2</v>
      </c>
      <c r="G12" s="639">
        <f>A2.7.4!G12/A2.7.4!G$29</f>
        <v>4.5218764290960493E-2</v>
      </c>
      <c r="H12" s="640">
        <f>A2.7.4!H12/A2.7.4!H$29</f>
        <v>3.8296309555017845E-2</v>
      </c>
      <c r="I12" s="639">
        <f>A2.7.4!I12/A2.7.4!I$29</f>
        <v>4.0324002164991428E-2</v>
      </c>
      <c r="J12" s="640">
        <f>A2.7.4!J12/A2.7.4!J$29</f>
        <v>3.4390112469963673E-2</v>
      </c>
      <c r="K12" s="639">
        <f>A2.7.4!K12/A2.7.4!K$29</f>
        <v>3.350798459874612E-2</v>
      </c>
      <c r="L12" s="640">
        <f>A2.7.4!L12/A2.7.4!L$29</f>
        <v>2.882082161582698E-2</v>
      </c>
    </row>
    <row r="13" spans="1:12" s="1" customFormat="1" ht="13.35" customHeight="1" x14ac:dyDescent="0.2">
      <c r="B13" s="631"/>
      <c r="C13" s="16" t="s">
        <v>27</v>
      </c>
      <c r="D13" s="338" t="s">
        <v>51</v>
      </c>
      <c r="E13" s="639">
        <f>A2.7.4!E13/A2.7.4!E$29</f>
        <v>4.4088190857029121E-2</v>
      </c>
      <c r="F13" s="640">
        <f>A2.7.4!F13/A2.7.4!F$29</f>
        <v>3.9558907685732655E-2</v>
      </c>
      <c r="G13" s="639">
        <f>A2.7.4!G13/A2.7.4!G$29</f>
        <v>4.5484662767977163E-2</v>
      </c>
      <c r="H13" s="640">
        <f>A2.7.4!H13/A2.7.4!H$29</f>
        <v>3.9616643774855902E-2</v>
      </c>
      <c r="I13" s="639">
        <f>A2.7.4!I13/A2.7.4!I$29</f>
        <v>3.873274729255103E-2</v>
      </c>
      <c r="J13" s="640">
        <f>A2.7.4!J13/A2.7.4!J$29</f>
        <v>3.4606282207578914E-2</v>
      </c>
      <c r="K13" s="639">
        <f>A2.7.4!K13/A2.7.4!K$29</f>
        <v>3.844324246923983E-2</v>
      </c>
      <c r="L13" s="640">
        <f>A2.7.4!L13/A2.7.4!L$29</f>
        <v>3.3153509922980919E-2</v>
      </c>
    </row>
    <row r="14" spans="1:12" s="1" customFormat="1" ht="13.35" customHeight="1" x14ac:dyDescent="0.2">
      <c r="B14" s="631"/>
      <c r="C14" s="16" t="s">
        <v>28</v>
      </c>
      <c r="D14" s="338" t="s">
        <v>52</v>
      </c>
      <c r="E14" s="639">
        <f>A2.7.4!E14/A2.7.4!E$29</f>
        <v>4.7904245790849793E-2</v>
      </c>
      <c r="F14" s="640">
        <f>A2.7.4!F14/A2.7.4!F$29</f>
        <v>4.1702306660954071E-2</v>
      </c>
      <c r="G14" s="639">
        <f>A2.7.4!G14/A2.7.4!G$29</f>
        <v>4.5689066808941116E-2</v>
      </c>
      <c r="H14" s="640">
        <f>A2.7.4!H14/A2.7.4!H$29</f>
        <v>3.8236890192452792E-2</v>
      </c>
      <c r="I14" s="639">
        <f>A2.7.4!I14/A2.7.4!I$29</f>
        <v>3.6764761792187094E-2</v>
      </c>
      <c r="J14" s="640">
        <f>A2.7.4!J14/A2.7.4!J$29</f>
        <v>3.3594121428329106E-2</v>
      </c>
      <c r="K14" s="639">
        <f>A2.7.4!K14/A2.7.4!K$29</f>
        <v>3.8200919862123942E-2</v>
      </c>
      <c r="L14" s="640">
        <f>A2.7.4!L14/A2.7.4!L$29</f>
        <v>3.400816453415844E-2</v>
      </c>
    </row>
    <row r="15" spans="1:12" customFormat="1" ht="13.35" customHeight="1" x14ac:dyDescent="0.2">
      <c r="A15" s="1"/>
      <c r="B15" s="631"/>
      <c r="C15" s="16" t="s">
        <v>29</v>
      </c>
      <c r="D15" s="338" t="s">
        <v>53</v>
      </c>
      <c r="E15" s="639">
        <f>A2.7.4!E15/A2.7.4!E$29</f>
        <v>5.2367618720201209E-2</v>
      </c>
      <c r="F15" s="640">
        <f>A2.7.4!F15/A2.7.4!F$29</f>
        <v>4.2941858068599098E-2</v>
      </c>
      <c r="G15" s="639">
        <f>A2.7.4!G15/A2.7.4!G$29</f>
        <v>4.6269799476171339E-2</v>
      </c>
      <c r="H15" s="640">
        <f>A2.7.4!H15/A2.7.4!H$29</f>
        <v>3.7878015172237087E-2</v>
      </c>
      <c r="I15" s="639">
        <f>A2.7.4!I15/A2.7.4!I$29</f>
        <v>3.8155554495640641E-2</v>
      </c>
      <c r="J15" s="640">
        <f>A2.7.4!J15/A2.7.4!J$29</f>
        <v>3.4917859911671997E-2</v>
      </c>
      <c r="K15" s="639">
        <f>A2.7.4!K15/A2.7.4!K$29</f>
        <v>3.6054093014706641E-2</v>
      </c>
      <c r="L15" s="640">
        <f>A2.7.4!L15/A2.7.4!L$29</f>
        <v>3.2487749640168442E-2</v>
      </c>
    </row>
    <row r="16" spans="1:12" customFormat="1" ht="13.35" customHeight="1" x14ac:dyDescent="0.2">
      <c r="A16" s="1"/>
      <c r="B16" s="631"/>
      <c r="C16" s="16" t="s">
        <v>30</v>
      </c>
      <c r="D16" s="338" t="s">
        <v>54</v>
      </c>
      <c r="E16" s="639">
        <f>A2.7.4!E16/A2.7.4!E$29</f>
        <v>4.7830964508336876E-2</v>
      </c>
      <c r="F16" s="640">
        <f>A2.7.4!F16/A2.7.4!F$29</f>
        <v>4.1975431037159595E-2</v>
      </c>
      <c r="G16" s="639">
        <f>A2.7.4!G16/A2.7.4!G$29</f>
        <v>4.9204210030348805E-2</v>
      </c>
      <c r="H16" s="640">
        <f>A2.7.4!H16/A2.7.4!H$29</f>
        <v>3.9106371186243043E-2</v>
      </c>
      <c r="I16" s="639">
        <f>A2.7.4!I16/A2.7.4!I$29</f>
        <v>3.9174800937609951E-2</v>
      </c>
      <c r="J16" s="640">
        <f>A2.7.4!J16/A2.7.4!J$29</f>
        <v>3.7425994133941314E-2</v>
      </c>
      <c r="K16" s="639">
        <f>A2.7.4!K16/A2.7.4!K$29</f>
        <v>3.6209675143138997E-2</v>
      </c>
      <c r="L16" s="640">
        <f>A2.7.4!L16/A2.7.4!L$29</f>
        <v>3.2689381175040028E-2</v>
      </c>
    </row>
    <row r="17" spans="1:12" customFormat="1" ht="13.35" customHeight="1" x14ac:dyDescent="0.2">
      <c r="A17" s="1"/>
      <c r="B17" s="631"/>
      <c r="C17" s="16" t="s">
        <v>31</v>
      </c>
      <c r="D17" s="338" t="s">
        <v>55</v>
      </c>
      <c r="E17" s="639">
        <f>A2.7.4!E17/A2.7.4!E$29</f>
        <v>5.3475432676214345E-2</v>
      </c>
      <c r="F17" s="640">
        <f>A2.7.4!F17/A2.7.4!F$29</f>
        <v>4.4079346018370276E-2</v>
      </c>
      <c r="G17" s="639">
        <f>A2.7.4!G17/A2.7.4!G$29</f>
        <v>4.3881476836518343E-2</v>
      </c>
      <c r="H17" s="640">
        <f>A2.7.4!H17/A2.7.4!H$29</f>
        <v>3.6410163772934788E-2</v>
      </c>
      <c r="I17" s="639">
        <f>A2.7.4!I17/A2.7.4!I$29</f>
        <v>4.2457541766984158E-2</v>
      </c>
      <c r="J17" s="640">
        <f>A2.7.4!J17/A2.7.4!J$29</f>
        <v>4.0522152429042828E-2</v>
      </c>
      <c r="K17" s="639">
        <f>A2.7.4!K17/A2.7.4!K$29</f>
        <v>3.7315272038105231E-2</v>
      </c>
      <c r="L17" s="640">
        <f>A2.7.4!L17/A2.7.4!L$29</f>
        <v>3.5125520189347621E-2</v>
      </c>
    </row>
    <row r="18" spans="1:12" customFormat="1" ht="13.35" customHeight="1" x14ac:dyDescent="0.2">
      <c r="A18" s="1"/>
      <c r="B18" s="631"/>
      <c r="C18" s="16" t="s">
        <v>32</v>
      </c>
      <c r="D18" s="338" t="s">
        <v>56</v>
      </c>
      <c r="E18" s="639">
        <f>A2.7.4!E18/A2.7.4!E$29</f>
        <v>5.1686374204988554E-2</v>
      </c>
      <c r="F18" s="640">
        <f>A2.7.4!F18/A2.7.4!F$29</f>
        <v>3.9545192510217486E-2</v>
      </c>
      <c r="G18" s="639">
        <f>A2.7.4!G18/A2.7.4!G$29</f>
        <v>4.0347279001122491E-2</v>
      </c>
      <c r="H18" s="640">
        <f>A2.7.4!H18/A2.7.4!H$29</f>
        <v>3.5884246327332045E-2</v>
      </c>
      <c r="I18" s="639">
        <f>A2.7.4!I18/A2.7.4!I$29</f>
        <v>3.8745535396434674E-2</v>
      </c>
      <c r="J18" s="640">
        <f>A2.7.4!J18/A2.7.4!J$29</f>
        <v>3.6433527102697552E-2</v>
      </c>
      <c r="K18" s="639">
        <f>A2.7.4!K18/A2.7.4!K$29</f>
        <v>4.3266976867140435E-2</v>
      </c>
      <c r="L18" s="640">
        <f>A2.7.4!L18/A2.7.4!L$29</f>
        <v>4.0310094379296772E-2</v>
      </c>
    </row>
    <row r="19" spans="1:12" customFormat="1" ht="13.35" customHeight="1" x14ac:dyDescent="0.2">
      <c r="A19" s="1"/>
      <c r="B19" s="631"/>
      <c r="C19" s="16" t="s">
        <v>33</v>
      </c>
      <c r="D19" s="338" t="s">
        <v>57</v>
      </c>
      <c r="E19" s="639">
        <f>A2.7.4!E19/A2.7.4!E$29</f>
        <v>4.3150461853021273E-2</v>
      </c>
      <c r="F19" s="640">
        <f>A2.7.4!F19/A2.7.4!F$29</f>
        <v>3.6732715541892787E-2</v>
      </c>
      <c r="G19" s="639">
        <f>A2.7.4!G19/A2.7.4!G$29</f>
        <v>4.4020488906750185E-2</v>
      </c>
      <c r="H19" s="640">
        <f>A2.7.4!H19/A2.7.4!H$29</f>
        <v>3.7323844740235403E-2</v>
      </c>
      <c r="I19" s="639">
        <f>A2.7.4!I19/A2.7.4!I$29</f>
        <v>3.7153243650706422E-2</v>
      </c>
      <c r="J19" s="640">
        <f>A2.7.4!J19/A2.7.4!J$29</f>
        <v>3.5131683720275191E-2</v>
      </c>
      <c r="K19" s="639">
        <f>A2.7.4!K19/A2.7.4!K$29</f>
        <v>3.722887576767045E-2</v>
      </c>
      <c r="L19" s="640">
        <f>A2.7.4!L19/A2.7.4!L$29</f>
        <v>3.4186309873912094E-2</v>
      </c>
    </row>
    <row r="20" spans="1:12" customFormat="1" ht="13.35" customHeight="1" x14ac:dyDescent="0.2">
      <c r="A20" s="1"/>
      <c r="B20" s="631"/>
      <c r="C20" s="16" t="s">
        <v>34</v>
      </c>
      <c r="D20" s="338" t="s">
        <v>58</v>
      </c>
      <c r="E20" s="639">
        <f>A2.7.4!E20/A2.7.4!E$29</f>
        <v>0.16312277781296083</v>
      </c>
      <c r="F20" s="640">
        <f>A2.7.4!F20/A2.7.4!F$29</f>
        <v>0.1390513094533759</v>
      </c>
      <c r="G20" s="639">
        <f>A2.7.4!G20/A2.7.4!G$29</f>
        <v>0.17464593062734718</v>
      </c>
      <c r="H20" s="640">
        <f>A2.7.4!H20/A2.7.4!H$29</f>
        <v>0.15066147761440024</v>
      </c>
      <c r="I20" s="639">
        <f>A2.7.4!I20/A2.7.4!I$29</f>
        <v>0.17947930988478955</v>
      </c>
      <c r="J20" s="640">
        <f>A2.7.4!J20/A2.7.4!J$29</f>
        <v>0.17925622297753502</v>
      </c>
      <c r="K20" s="639">
        <f>A2.7.4!K20/A2.7.4!K$29</f>
        <v>0.1691380818926497</v>
      </c>
      <c r="L20" s="640">
        <f>A2.7.4!L20/A2.7.4!L$29</f>
        <v>0.16894270919113411</v>
      </c>
    </row>
    <row r="21" spans="1:12" customFormat="1" ht="13.35" customHeight="1" x14ac:dyDescent="0.2">
      <c r="A21" s="1"/>
      <c r="B21" s="631"/>
      <c r="C21" s="16" t="s">
        <v>35</v>
      </c>
      <c r="D21" s="338" t="s">
        <v>59</v>
      </c>
      <c r="E21" s="639">
        <f>A2.7.4!E21/A2.7.4!E$29</f>
        <v>0.14035129780246622</v>
      </c>
      <c r="F21" s="640">
        <f>A2.7.4!F21/A2.7.4!F$29</f>
        <v>0.13719114592387738</v>
      </c>
      <c r="G21" s="639">
        <f>A2.7.4!G21/A2.7.4!G$29</f>
        <v>0.15162102797910229</v>
      </c>
      <c r="H21" s="640">
        <f>A2.7.4!H21/A2.7.4!H$29</f>
        <v>0.15115813164666039</v>
      </c>
      <c r="I21" s="639">
        <f>A2.7.4!I21/A2.7.4!I$29</f>
        <v>0.18184821972312717</v>
      </c>
      <c r="J21" s="640">
        <f>A2.7.4!J21/A2.7.4!J$29</f>
        <v>0.18672365150381517</v>
      </c>
      <c r="K21" s="639">
        <f>A2.7.4!K21/A2.7.4!K$29</f>
        <v>0.19955989533315571</v>
      </c>
      <c r="L21" s="640">
        <f>A2.7.4!L21/A2.7.4!L$29</f>
        <v>0.20688264930473013</v>
      </c>
    </row>
    <row r="22" spans="1:12" customFormat="1" ht="13.35" customHeight="1" x14ac:dyDescent="0.2">
      <c r="A22" s="1"/>
      <c r="B22" s="631"/>
      <c r="C22" s="16" t="s">
        <v>36</v>
      </c>
      <c r="D22" s="338" t="s">
        <v>60</v>
      </c>
      <c r="E22" s="639">
        <f>A2.7.4!E22/A2.7.4!E$29</f>
        <v>6.4229687061782448E-2</v>
      </c>
      <c r="F22" s="640">
        <f>A2.7.4!F22/A2.7.4!F$29</f>
        <v>6.6282170872228069E-2</v>
      </c>
      <c r="G22" s="639">
        <f>A2.7.4!G22/A2.7.4!G$29</f>
        <v>6.7155388644835848E-2</v>
      </c>
      <c r="H22" s="640">
        <f>A2.7.4!H22/A2.7.4!H$29</f>
        <v>7.2588987626753865E-2</v>
      </c>
      <c r="I22" s="639">
        <f>A2.7.4!I22/A2.7.4!I$29</f>
        <v>8.3052513484537113E-2</v>
      </c>
      <c r="J22" s="640">
        <f>A2.7.4!J22/A2.7.4!J$29</f>
        <v>8.7255712837280078E-2</v>
      </c>
      <c r="K22" s="639">
        <f>A2.7.4!K22/A2.7.4!K$29</f>
        <v>8.8676305874464498E-2</v>
      </c>
      <c r="L22" s="640">
        <f>A2.7.4!L22/A2.7.4!L$29</f>
        <v>9.2821951888067827E-2</v>
      </c>
    </row>
    <row r="23" spans="1:12" customFormat="1" ht="13.35" customHeight="1" x14ac:dyDescent="0.2">
      <c r="A23" s="1"/>
      <c r="B23" s="631"/>
      <c r="C23" s="16" t="s">
        <v>37</v>
      </c>
      <c r="D23" s="338" t="s">
        <v>61</v>
      </c>
      <c r="E23" s="639">
        <f>A2.7.4!E23/A2.7.4!E$29</f>
        <v>3.2673952575249021E-2</v>
      </c>
      <c r="F23" s="640">
        <f>A2.7.4!F23/A2.7.4!F$29</f>
        <v>3.5233139600483583E-2</v>
      </c>
      <c r="G23" s="639">
        <f>A2.7.4!G23/A2.7.4!G$29</f>
        <v>3.3285812280871942E-2</v>
      </c>
      <c r="H23" s="640">
        <f>A2.7.4!H23/A2.7.4!H$29</f>
        <v>3.8627196907699952E-2</v>
      </c>
      <c r="I23" s="639">
        <f>A2.7.4!I23/A2.7.4!I$29</f>
        <v>4.3448447005751879E-2</v>
      </c>
      <c r="J23" s="640">
        <f>A2.7.4!J23/A2.7.4!J$29</f>
        <v>4.651387424288031E-2</v>
      </c>
      <c r="K23" s="639">
        <f>A2.7.4!K23/A2.7.4!K$29</f>
        <v>4.9092357268886534E-2</v>
      </c>
      <c r="L23" s="640">
        <f>A2.7.4!L23/A2.7.4!L$29</f>
        <v>5.2485225760364546E-2</v>
      </c>
    </row>
    <row r="24" spans="1:12" customFormat="1" ht="13.35" customHeight="1" x14ac:dyDescent="0.2">
      <c r="A24" s="1"/>
      <c r="B24" s="631"/>
      <c r="C24" s="16" t="s">
        <v>38</v>
      </c>
      <c r="D24" s="338" t="s">
        <v>62</v>
      </c>
      <c r="E24" s="639">
        <f>A2.7.4!E24/A2.7.4!E$29</f>
        <v>3.1062216713560655E-2</v>
      </c>
      <c r="F24" s="640">
        <f>A2.7.4!F24/A2.7.4!F$29</f>
        <v>3.6754963891895705E-2</v>
      </c>
      <c r="G24" s="639">
        <f>A2.7.4!G24/A2.7.4!G$29</f>
        <v>3.3648716065464726E-2</v>
      </c>
      <c r="H24" s="640">
        <f>A2.7.4!H24/A2.7.4!H$29</f>
        <v>4.1797877103928786E-2</v>
      </c>
      <c r="I24" s="639">
        <f>A2.7.4!I24/A2.7.4!I$29</f>
        <v>4.8002048861616818E-2</v>
      </c>
      <c r="J24" s="640">
        <f>A2.7.4!J24/A2.7.4!J$29</f>
        <v>5.1552332102699591E-2</v>
      </c>
      <c r="K24" s="639">
        <f>A2.7.4!K24/A2.7.4!K$29</f>
        <v>5.3575325500530423E-2</v>
      </c>
      <c r="L24" s="640">
        <f>A2.7.4!L24/A2.7.4!L$29</f>
        <v>5.7820613646195854E-2</v>
      </c>
    </row>
    <row r="25" spans="1:12" customFormat="1" ht="13.35" customHeight="1" x14ac:dyDescent="0.2">
      <c r="A25" s="1"/>
      <c r="B25" s="631"/>
      <c r="C25" s="16" t="s">
        <v>39</v>
      </c>
      <c r="D25" s="338" t="s">
        <v>63</v>
      </c>
      <c r="E25" s="639">
        <f>A2.7.4!E25/A2.7.4!E$29</f>
        <v>1.0070748102376665E-2</v>
      </c>
      <c r="F25" s="640">
        <f>A2.7.4!F25/A2.7.4!F$29</f>
        <v>1.3048743664885282E-2</v>
      </c>
      <c r="G25" s="639">
        <f>A2.7.4!G25/A2.7.4!G$29</f>
        <v>1.0079890799739472E-2</v>
      </c>
      <c r="H25" s="640">
        <f>A2.7.4!H25/A2.7.4!H$29</f>
        <v>1.4208820166551055E-2</v>
      </c>
      <c r="I25" s="639">
        <f>A2.7.4!I25/A2.7.4!I$29</f>
        <v>1.6047687876255393E-2</v>
      </c>
      <c r="J25" s="640">
        <f>A2.7.4!J25/A2.7.4!J$29</f>
        <v>1.7666507216662949E-2</v>
      </c>
      <c r="K25" s="639">
        <f>A2.7.4!K25/A2.7.4!K$29</f>
        <v>1.8968972380041704E-2</v>
      </c>
      <c r="L25" s="640">
        <f>A2.7.4!L25/A2.7.4!L$29</f>
        <v>2.0808596309497697E-2</v>
      </c>
    </row>
    <row r="26" spans="1:12" customFormat="1" ht="13.35" customHeight="1" x14ac:dyDescent="0.2">
      <c r="A26" s="1"/>
      <c r="B26" s="631"/>
      <c r="C26" s="16" t="s">
        <v>40</v>
      </c>
      <c r="D26" s="338" t="s">
        <v>64</v>
      </c>
      <c r="E26" s="639">
        <f>A2.7.4!E26/A2.7.4!E$29</f>
        <v>8.9624817927677711E-3</v>
      </c>
      <c r="F26" s="640">
        <f>A2.7.4!F26/A2.7.4!F$29</f>
        <v>1.2632798578269515E-2</v>
      </c>
      <c r="G26" s="639">
        <f>A2.7.4!G26/A2.7.4!G$29</f>
        <v>8.2419866686991583E-3</v>
      </c>
      <c r="H26" s="640">
        <f>A2.7.4!H26/A2.7.4!H$29</f>
        <v>1.2309233158208411E-2</v>
      </c>
      <c r="I26" s="639">
        <f>A2.7.4!I26/A2.7.4!I$29</f>
        <v>1.4381778127088867E-2</v>
      </c>
      <c r="J26" s="640">
        <f>A2.7.4!J26/A2.7.4!J$29</f>
        <v>1.6477388096801326E-2</v>
      </c>
      <c r="K26" s="639">
        <f>A2.7.4!K26/A2.7.4!K$29</f>
        <v>1.6518898065480802E-2</v>
      </c>
      <c r="L26" s="640">
        <f>A2.7.4!L26/A2.7.4!L$29</f>
        <v>1.8924589433769397E-2</v>
      </c>
    </row>
    <row r="27" spans="1:12" customFormat="1" ht="13.35" customHeight="1" x14ac:dyDescent="0.2">
      <c r="A27" s="1"/>
      <c r="B27" s="631"/>
      <c r="C27" s="16" t="s">
        <v>41</v>
      </c>
      <c r="D27" s="338" t="s">
        <v>65</v>
      </c>
      <c r="E27" s="639">
        <f>A2.7.4!E27/A2.7.4!E$29</f>
        <v>2.2717197579003555E-3</v>
      </c>
      <c r="F27" s="640">
        <f>A2.7.4!F27/A2.7.4!F$29</f>
        <v>3.264607825853868E-3</v>
      </c>
      <c r="G27" s="639">
        <f>A2.7.4!G27/A2.7.4!G$29</f>
        <v>2.0189229639278835E-3</v>
      </c>
      <c r="H27" s="640">
        <f>A2.7.4!H27/A2.7.4!H$29</f>
        <v>3.2376947042845163E-3</v>
      </c>
      <c r="I27" s="639">
        <f>A2.7.4!I27/A2.7.4!I$29</f>
        <v>3.7897718671392046E-3</v>
      </c>
      <c r="J27" s="640">
        <f>A2.7.4!J27/A2.7.4!J$29</f>
        <v>4.4254146892979459E-3</v>
      </c>
      <c r="K27" s="639">
        <f>A2.7.4!K27/A2.7.4!K$29</f>
        <v>4.1236148199549913E-3</v>
      </c>
      <c r="L27" s="640">
        <f>A2.7.4!L27/A2.7.4!L$29</f>
        <v>4.9721158893039378E-3</v>
      </c>
    </row>
    <row r="28" spans="1:12" customFormat="1" ht="13.35" customHeight="1" x14ac:dyDescent="0.2">
      <c r="A28" s="1"/>
      <c r="B28" s="632"/>
      <c r="C28" s="280" t="s">
        <v>42</v>
      </c>
      <c r="D28" s="434" t="s">
        <v>66</v>
      </c>
      <c r="E28" s="641">
        <f>A2.7.4!E28/A2.7.4!E$29</f>
        <v>4.1299883292772292E-4</v>
      </c>
      <c r="F28" s="642">
        <f>A2.7.4!F28/A2.7.4!F$29</f>
        <v>6.3841999080680692E-4</v>
      </c>
      <c r="G28" s="641">
        <f>A2.7.4!G28/A2.7.4!G$29</f>
        <v>3.3605410124582533E-4</v>
      </c>
      <c r="H28" s="642">
        <f>A2.7.4!H28/A2.7.4!H$29</f>
        <v>5.488412075894633E-4</v>
      </c>
      <c r="I28" s="641">
        <f>A2.7.4!I28/A2.7.4!I$29</f>
        <v>6.23160846005653E-4</v>
      </c>
      <c r="J28" s="642">
        <f>A2.7.4!J28/A2.7.4!J$29</f>
        <v>7.8867948246172186E-4</v>
      </c>
      <c r="K28" s="641">
        <f>A2.7.4!K28/A2.7.4!K$29</f>
        <v>7.3040990383509944E-4</v>
      </c>
      <c r="L28" s="642">
        <f>A2.7.4!L28/A2.7.4!L$29</f>
        <v>9.2243673159642786E-4</v>
      </c>
    </row>
    <row r="29" spans="1:12" customFormat="1" ht="13.35" customHeight="1" x14ac:dyDescent="0.2">
      <c r="A29" s="1"/>
      <c r="B29" s="632"/>
      <c r="C29" s="635" t="s">
        <v>8</v>
      </c>
      <c r="D29" s="636"/>
      <c r="E29" s="643">
        <f>A2.7.4!E29/A2.7.4!E$29</f>
        <v>1</v>
      </c>
      <c r="F29" s="644">
        <f>A2.7.4!F29/A2.7.4!F$29</f>
        <v>1</v>
      </c>
      <c r="G29" s="643">
        <f>A2.7.4!G29/A2.7.4!G$29</f>
        <v>1</v>
      </c>
      <c r="H29" s="644">
        <f>A2.7.4!H29/A2.7.4!H$29</f>
        <v>1</v>
      </c>
      <c r="I29" s="643">
        <f>A2.7.4!I29/A2.7.4!I$29</f>
        <v>1</v>
      </c>
      <c r="J29" s="644">
        <f>A2.7.4!J29/A2.7.4!J$29</f>
        <v>1</v>
      </c>
      <c r="K29" s="643">
        <f>A2.7.4!K29/A2.7.4!K$29</f>
        <v>1</v>
      </c>
      <c r="L29" s="644">
        <f>A2.7.4!L29/A2.7.4!L$29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521</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29">
        <v>1085</v>
      </c>
      <c r="F4" s="630">
        <v>76.392168999999996</v>
      </c>
      <c r="G4" s="629">
        <v>792</v>
      </c>
      <c r="H4" s="630">
        <v>66.561768999999998</v>
      </c>
      <c r="I4" s="629">
        <v>759</v>
      </c>
      <c r="J4" s="630">
        <v>66.102743000000004</v>
      </c>
      <c r="K4" s="629">
        <v>822</v>
      </c>
      <c r="L4" s="630">
        <v>76.035484999999994</v>
      </c>
    </row>
    <row r="5" spans="1:12" ht="13.35" customHeight="1" x14ac:dyDescent="0.2">
      <c r="B5" s="145"/>
      <c r="C5" s="16" t="s">
        <v>19</v>
      </c>
      <c r="D5" s="339" t="s">
        <v>129</v>
      </c>
      <c r="E5" s="629">
        <v>2</v>
      </c>
      <c r="F5" s="630">
        <v>0.122471</v>
      </c>
      <c r="G5" s="629">
        <v>2</v>
      </c>
      <c r="H5" s="630">
        <v>7.8461000000000003E-2</v>
      </c>
      <c r="I5" s="629"/>
      <c r="J5" s="630">
        <v>0</v>
      </c>
      <c r="K5" s="629"/>
      <c r="L5" s="630">
        <v>0</v>
      </c>
    </row>
    <row r="6" spans="1:12" ht="13.35" customHeight="1" x14ac:dyDescent="0.2">
      <c r="B6" s="145"/>
      <c r="C6" s="16" t="s">
        <v>20</v>
      </c>
      <c r="D6" s="338" t="s">
        <v>44</v>
      </c>
      <c r="E6" s="629">
        <v>571</v>
      </c>
      <c r="F6" s="630">
        <v>25.573568999999999</v>
      </c>
      <c r="G6" s="629">
        <v>420</v>
      </c>
      <c r="H6" s="630">
        <v>19.769382</v>
      </c>
      <c r="I6" s="629">
        <v>359</v>
      </c>
      <c r="J6" s="630">
        <v>18.298693</v>
      </c>
      <c r="K6" s="629">
        <v>381</v>
      </c>
      <c r="L6" s="630">
        <v>20.452334</v>
      </c>
    </row>
    <row r="7" spans="1:12" ht="13.35" customHeight="1" x14ac:dyDescent="0.2">
      <c r="B7" s="145"/>
      <c r="C7" s="16" t="s">
        <v>21</v>
      </c>
      <c r="D7" s="338" t="s">
        <v>45</v>
      </c>
      <c r="E7" s="629">
        <v>425</v>
      </c>
      <c r="F7" s="630">
        <v>16.197869000000001</v>
      </c>
      <c r="G7" s="629">
        <v>339</v>
      </c>
      <c r="H7" s="630">
        <v>14.662903999999999</v>
      </c>
      <c r="I7" s="629">
        <v>311</v>
      </c>
      <c r="J7" s="630">
        <v>15.2897</v>
      </c>
      <c r="K7" s="629">
        <v>333</v>
      </c>
      <c r="L7" s="630">
        <v>15.659834</v>
      </c>
    </row>
    <row r="8" spans="1:12" ht="13.35" customHeight="1" x14ac:dyDescent="0.2">
      <c r="B8" s="145"/>
      <c r="C8" s="16" t="s">
        <v>22</v>
      </c>
      <c r="D8" s="338" t="s">
        <v>46</v>
      </c>
      <c r="E8" s="629">
        <v>639</v>
      </c>
      <c r="F8" s="630">
        <v>21.307123000000001</v>
      </c>
      <c r="G8" s="629">
        <v>471</v>
      </c>
      <c r="H8" s="630">
        <v>18.014499000000001</v>
      </c>
      <c r="I8" s="629">
        <v>422</v>
      </c>
      <c r="J8" s="630">
        <v>17.342495</v>
      </c>
      <c r="K8" s="629">
        <v>461</v>
      </c>
      <c r="L8" s="630">
        <v>20.394590999999998</v>
      </c>
    </row>
    <row r="9" spans="1:12" ht="13.35" customHeight="1" x14ac:dyDescent="0.2">
      <c r="B9" s="145"/>
      <c r="C9" s="16" t="s">
        <v>23</v>
      </c>
      <c r="D9" s="338" t="s">
        <v>47</v>
      </c>
      <c r="E9" s="629">
        <v>1012</v>
      </c>
      <c r="F9" s="630">
        <v>29.593209999999999</v>
      </c>
      <c r="G9" s="629">
        <v>687</v>
      </c>
      <c r="H9" s="630">
        <v>22.746161000000001</v>
      </c>
      <c r="I9" s="629">
        <v>570</v>
      </c>
      <c r="J9" s="630">
        <v>22.463180000000001</v>
      </c>
      <c r="K9" s="629">
        <v>659</v>
      </c>
      <c r="L9" s="630">
        <v>27.900220999999998</v>
      </c>
    </row>
    <row r="10" spans="1:12" s="50" customFormat="1" ht="13.35" customHeight="1" x14ac:dyDescent="0.2">
      <c r="B10" s="145"/>
      <c r="C10" s="16" t="s">
        <v>24</v>
      </c>
      <c r="D10" s="338" t="s">
        <v>48</v>
      </c>
      <c r="E10" s="629">
        <v>1063</v>
      </c>
      <c r="F10" s="630">
        <v>29.626847000000001</v>
      </c>
      <c r="G10" s="629">
        <v>1019</v>
      </c>
      <c r="H10" s="630">
        <v>30.114028999999999</v>
      </c>
      <c r="I10" s="629">
        <v>902</v>
      </c>
      <c r="J10" s="630">
        <v>32.430731999999999</v>
      </c>
      <c r="K10" s="629">
        <v>1005</v>
      </c>
      <c r="L10" s="630">
        <v>36.772719000000002</v>
      </c>
    </row>
    <row r="11" spans="1:12" s="1" customFormat="1" ht="13.35" customHeight="1" x14ac:dyDescent="0.2">
      <c r="B11" s="631"/>
      <c r="C11" s="16" t="s">
        <v>25</v>
      </c>
      <c r="D11" s="338" t="s">
        <v>49</v>
      </c>
      <c r="E11" s="629">
        <v>1182</v>
      </c>
      <c r="F11" s="630">
        <v>32.908250000000002</v>
      </c>
      <c r="G11" s="629">
        <v>1068</v>
      </c>
      <c r="H11" s="630">
        <v>31.530154</v>
      </c>
      <c r="I11" s="629">
        <v>1013</v>
      </c>
      <c r="J11" s="630">
        <v>34.674261999999999</v>
      </c>
      <c r="K11" s="629">
        <v>1172</v>
      </c>
      <c r="L11" s="630">
        <v>41.445965000000001</v>
      </c>
    </row>
    <row r="12" spans="1:12" s="1" customFormat="1" ht="13.35" customHeight="1" x14ac:dyDescent="0.2">
      <c r="B12" s="631"/>
      <c r="C12" s="16" t="s">
        <v>26</v>
      </c>
      <c r="D12" s="338" t="s">
        <v>50</v>
      </c>
      <c r="E12" s="629">
        <v>1204</v>
      </c>
      <c r="F12" s="630">
        <v>32.846240000000002</v>
      </c>
      <c r="G12" s="629">
        <v>1065</v>
      </c>
      <c r="H12" s="630">
        <v>29.791772999999999</v>
      </c>
      <c r="I12" s="629">
        <v>982</v>
      </c>
      <c r="J12" s="630">
        <v>34.955112</v>
      </c>
      <c r="K12" s="629">
        <v>1282</v>
      </c>
      <c r="L12" s="630">
        <v>47.449039999999997</v>
      </c>
    </row>
    <row r="13" spans="1:12" s="1" customFormat="1" ht="13.35" customHeight="1" x14ac:dyDescent="0.2">
      <c r="B13" s="631"/>
      <c r="C13" s="16" t="s">
        <v>27</v>
      </c>
      <c r="D13" s="338" t="s">
        <v>51</v>
      </c>
      <c r="E13" s="629">
        <v>1236</v>
      </c>
      <c r="F13" s="630">
        <v>32.286783999999997</v>
      </c>
      <c r="G13" s="629">
        <v>1128</v>
      </c>
      <c r="H13" s="630">
        <v>33.599553999999998</v>
      </c>
      <c r="I13" s="629">
        <v>1055</v>
      </c>
      <c r="J13" s="630">
        <v>38.215313000000002</v>
      </c>
      <c r="K13" s="629">
        <v>1325</v>
      </c>
      <c r="L13" s="630">
        <v>52.644959</v>
      </c>
    </row>
    <row r="14" spans="1:12" s="1" customFormat="1" ht="13.35" customHeight="1" x14ac:dyDescent="0.2">
      <c r="B14" s="631"/>
      <c r="C14" s="16" t="s">
        <v>28</v>
      </c>
      <c r="D14" s="338" t="s">
        <v>52</v>
      </c>
      <c r="E14" s="629">
        <v>1263</v>
      </c>
      <c r="F14" s="630">
        <v>35.943404999999998</v>
      </c>
      <c r="G14" s="629">
        <v>1101</v>
      </c>
      <c r="H14" s="630">
        <v>33.477423999999999</v>
      </c>
      <c r="I14" s="629">
        <v>1083</v>
      </c>
      <c r="J14" s="630">
        <v>43.189340000000001</v>
      </c>
      <c r="K14" s="629">
        <v>1355</v>
      </c>
      <c r="L14" s="630">
        <v>53.522205</v>
      </c>
    </row>
    <row r="15" spans="1:12" customFormat="1" ht="13.35" customHeight="1" x14ac:dyDescent="0.2">
      <c r="A15" s="1"/>
      <c r="B15" s="631"/>
      <c r="C15" s="16" t="s">
        <v>29</v>
      </c>
      <c r="D15" s="338" t="s">
        <v>53</v>
      </c>
      <c r="E15" s="629">
        <v>1327</v>
      </c>
      <c r="F15" s="630">
        <v>35.717030000000001</v>
      </c>
      <c r="G15" s="629">
        <v>1177</v>
      </c>
      <c r="H15" s="630">
        <v>37.512259999999998</v>
      </c>
      <c r="I15" s="629">
        <v>1086</v>
      </c>
      <c r="J15" s="630">
        <v>44.256771999999998</v>
      </c>
      <c r="K15" s="629">
        <v>1345</v>
      </c>
      <c r="L15" s="630">
        <v>59.730801</v>
      </c>
    </row>
    <row r="16" spans="1:12" customFormat="1" ht="13.35" customHeight="1" x14ac:dyDescent="0.2">
      <c r="A16" s="1"/>
      <c r="B16" s="631"/>
      <c r="C16" s="16" t="s">
        <v>30</v>
      </c>
      <c r="D16" s="338" t="s">
        <v>54</v>
      </c>
      <c r="E16" s="629">
        <v>1238</v>
      </c>
      <c r="F16" s="630">
        <v>32.940601999999998</v>
      </c>
      <c r="G16" s="629">
        <v>1127</v>
      </c>
      <c r="H16" s="630">
        <v>35.224012999999999</v>
      </c>
      <c r="I16" s="629">
        <v>1047</v>
      </c>
      <c r="J16" s="630">
        <v>41.994942999999999</v>
      </c>
      <c r="K16" s="629">
        <v>1460</v>
      </c>
      <c r="L16" s="630">
        <v>68.852463999999998</v>
      </c>
    </row>
    <row r="17" spans="1:12" customFormat="1" ht="13.35" customHeight="1" x14ac:dyDescent="0.2">
      <c r="A17" s="1"/>
      <c r="B17" s="631"/>
      <c r="C17" s="16" t="s">
        <v>31</v>
      </c>
      <c r="D17" s="338" t="s">
        <v>55</v>
      </c>
      <c r="E17" s="629">
        <v>1260</v>
      </c>
      <c r="F17" s="630">
        <v>34.040891000000002</v>
      </c>
      <c r="G17" s="629">
        <v>1118</v>
      </c>
      <c r="H17" s="630">
        <v>35.931527000000003</v>
      </c>
      <c r="I17" s="629">
        <v>1017</v>
      </c>
      <c r="J17" s="630">
        <v>41.905062999999998</v>
      </c>
      <c r="K17" s="629">
        <v>1386</v>
      </c>
      <c r="L17" s="630">
        <v>64.655949000000007</v>
      </c>
    </row>
    <row r="18" spans="1:12" customFormat="1" ht="13.35" customHeight="1" x14ac:dyDescent="0.2">
      <c r="A18" s="1"/>
      <c r="B18" s="631"/>
      <c r="C18" s="16" t="s">
        <v>32</v>
      </c>
      <c r="D18" s="338" t="s">
        <v>56</v>
      </c>
      <c r="E18" s="629">
        <v>1258</v>
      </c>
      <c r="F18" s="630">
        <v>34.841982000000002</v>
      </c>
      <c r="G18" s="629">
        <v>1096</v>
      </c>
      <c r="H18" s="630">
        <v>33.528770000000002</v>
      </c>
      <c r="I18" s="629">
        <v>1087</v>
      </c>
      <c r="J18" s="630">
        <v>43.357517000000001</v>
      </c>
      <c r="K18" s="629">
        <v>1327</v>
      </c>
      <c r="L18" s="630">
        <v>62.199261</v>
      </c>
    </row>
    <row r="19" spans="1:12" customFormat="1" ht="13.35" customHeight="1" x14ac:dyDescent="0.2">
      <c r="A19" s="1"/>
      <c r="B19" s="631"/>
      <c r="C19" s="16" t="s">
        <v>33</v>
      </c>
      <c r="D19" s="338" t="s">
        <v>57</v>
      </c>
      <c r="E19" s="629">
        <v>1178</v>
      </c>
      <c r="F19" s="630">
        <v>32.191585000000003</v>
      </c>
      <c r="G19" s="629">
        <v>1051</v>
      </c>
      <c r="H19" s="630">
        <v>33.008769000000001</v>
      </c>
      <c r="I19" s="629">
        <v>1127</v>
      </c>
      <c r="J19" s="630">
        <v>47.978968999999999</v>
      </c>
      <c r="K19" s="629">
        <v>1281</v>
      </c>
      <c r="L19" s="630">
        <v>60.484305999999997</v>
      </c>
    </row>
    <row r="20" spans="1:12" customFormat="1" ht="13.35" customHeight="1" x14ac:dyDescent="0.2">
      <c r="A20" s="1"/>
      <c r="B20" s="631"/>
      <c r="C20" s="16" t="s">
        <v>34</v>
      </c>
      <c r="D20" s="338" t="s">
        <v>58</v>
      </c>
      <c r="E20" s="629">
        <v>4056</v>
      </c>
      <c r="F20" s="630">
        <v>121.13413799999999</v>
      </c>
      <c r="G20" s="629">
        <v>4360</v>
      </c>
      <c r="H20" s="630">
        <v>142.97739899999999</v>
      </c>
      <c r="I20" s="629">
        <v>4655</v>
      </c>
      <c r="J20" s="630">
        <v>209.13875100000001</v>
      </c>
      <c r="K20" s="629">
        <v>6125</v>
      </c>
      <c r="L20" s="630">
        <v>293.747434</v>
      </c>
    </row>
    <row r="21" spans="1:12" customFormat="1" ht="13.35" customHeight="1" x14ac:dyDescent="0.2">
      <c r="A21" s="1"/>
      <c r="B21" s="631"/>
      <c r="C21" s="16" t="s">
        <v>35</v>
      </c>
      <c r="D21" s="338" t="s">
        <v>59</v>
      </c>
      <c r="E21" s="629">
        <v>4406</v>
      </c>
      <c r="F21" s="630">
        <v>155.869418</v>
      </c>
      <c r="G21" s="629">
        <v>4651</v>
      </c>
      <c r="H21" s="630">
        <v>182.33447000000001</v>
      </c>
      <c r="I21" s="629">
        <v>5146</v>
      </c>
      <c r="J21" s="630">
        <v>264.42917599999998</v>
      </c>
      <c r="K21" s="629">
        <v>6652</v>
      </c>
      <c r="L21" s="630">
        <v>354.822157</v>
      </c>
    </row>
    <row r="22" spans="1:12" customFormat="1" ht="13.35" customHeight="1" x14ac:dyDescent="0.2">
      <c r="A22" s="1"/>
      <c r="B22" s="631"/>
      <c r="C22" s="16" t="s">
        <v>36</v>
      </c>
      <c r="D22" s="338" t="s">
        <v>60</v>
      </c>
      <c r="E22" s="629">
        <v>2362</v>
      </c>
      <c r="F22" s="630">
        <v>95.467837000000003</v>
      </c>
      <c r="G22" s="629">
        <v>2376</v>
      </c>
      <c r="H22" s="630">
        <v>109.448746</v>
      </c>
      <c r="I22" s="629">
        <v>2733</v>
      </c>
      <c r="J22" s="630">
        <v>164.049082</v>
      </c>
      <c r="K22" s="629">
        <v>3347</v>
      </c>
      <c r="L22" s="630">
        <v>203.50145000000001</v>
      </c>
    </row>
    <row r="23" spans="1:12" customFormat="1" ht="13.35" customHeight="1" x14ac:dyDescent="0.2">
      <c r="A23" s="1"/>
      <c r="B23" s="631"/>
      <c r="C23" s="16" t="s">
        <v>37</v>
      </c>
      <c r="D23" s="338" t="s">
        <v>61</v>
      </c>
      <c r="E23" s="629">
        <v>1396</v>
      </c>
      <c r="F23" s="630">
        <v>66.786799999999999</v>
      </c>
      <c r="G23" s="629">
        <v>1419</v>
      </c>
      <c r="H23" s="630">
        <v>79.305554000000001</v>
      </c>
      <c r="I23" s="629">
        <v>1695</v>
      </c>
      <c r="J23" s="630">
        <v>112.942795</v>
      </c>
      <c r="K23" s="629">
        <v>2033</v>
      </c>
      <c r="L23" s="630">
        <v>140.490621</v>
      </c>
    </row>
    <row r="24" spans="1:12" customFormat="1" ht="13.35" customHeight="1" x14ac:dyDescent="0.2">
      <c r="A24" s="1"/>
      <c r="B24" s="631"/>
      <c r="C24" s="16" t="s">
        <v>38</v>
      </c>
      <c r="D24" s="338" t="s">
        <v>62</v>
      </c>
      <c r="E24" s="629">
        <v>1540</v>
      </c>
      <c r="F24" s="630">
        <v>86.188220000000001</v>
      </c>
      <c r="G24" s="629">
        <v>1585</v>
      </c>
      <c r="H24" s="630">
        <v>98.192814999999996</v>
      </c>
      <c r="I24" s="629">
        <v>2030</v>
      </c>
      <c r="J24" s="630">
        <v>156.411573</v>
      </c>
      <c r="K24" s="629">
        <v>2538</v>
      </c>
      <c r="L24" s="630">
        <v>204.63437999999999</v>
      </c>
    </row>
    <row r="25" spans="1:12" customFormat="1" ht="13.35" customHeight="1" x14ac:dyDescent="0.2">
      <c r="A25" s="1"/>
      <c r="B25" s="631"/>
      <c r="C25" s="16" t="s">
        <v>39</v>
      </c>
      <c r="D25" s="338" t="s">
        <v>63</v>
      </c>
      <c r="E25" s="629">
        <v>564</v>
      </c>
      <c r="F25" s="630">
        <v>33.948549</v>
      </c>
      <c r="G25" s="629">
        <v>593</v>
      </c>
      <c r="H25" s="630">
        <v>43.436523999999999</v>
      </c>
      <c r="I25" s="629">
        <v>757</v>
      </c>
      <c r="J25" s="630">
        <v>67.753996999999998</v>
      </c>
      <c r="K25" s="629">
        <v>937</v>
      </c>
      <c r="L25" s="630">
        <v>85.248282000000003</v>
      </c>
    </row>
    <row r="26" spans="1:12" customFormat="1" ht="13.35" customHeight="1" x14ac:dyDescent="0.2">
      <c r="A26" s="1"/>
      <c r="B26" s="631"/>
      <c r="C26" s="16" t="s">
        <v>40</v>
      </c>
      <c r="D26" s="338" t="s">
        <v>64</v>
      </c>
      <c r="E26" s="629">
        <v>566</v>
      </c>
      <c r="F26" s="630">
        <v>45.097554000000002</v>
      </c>
      <c r="G26" s="629">
        <v>519</v>
      </c>
      <c r="H26" s="630">
        <v>49.569802000000003</v>
      </c>
      <c r="I26" s="629">
        <v>712</v>
      </c>
      <c r="J26" s="630">
        <v>76.948189999999997</v>
      </c>
      <c r="K26" s="629">
        <v>843</v>
      </c>
      <c r="L26" s="630">
        <v>92.025649000000001</v>
      </c>
    </row>
    <row r="27" spans="1:12" customFormat="1" ht="13.35" customHeight="1" x14ac:dyDescent="0.2">
      <c r="A27" s="1"/>
      <c r="B27" s="631"/>
      <c r="C27" s="16" t="s">
        <v>41</v>
      </c>
      <c r="D27" s="338" t="s">
        <v>65</v>
      </c>
      <c r="E27" s="629">
        <v>186</v>
      </c>
      <c r="F27" s="630">
        <v>16.824967999999998</v>
      </c>
      <c r="G27" s="629">
        <v>161</v>
      </c>
      <c r="H27" s="630">
        <v>19.159336</v>
      </c>
      <c r="I27" s="629">
        <v>197</v>
      </c>
      <c r="J27" s="630">
        <v>27.706793999999999</v>
      </c>
      <c r="K27" s="629">
        <v>258</v>
      </c>
      <c r="L27" s="630">
        <v>34.321773999999998</v>
      </c>
    </row>
    <row r="28" spans="1:12" customFormat="1" ht="13.35" customHeight="1" x14ac:dyDescent="0.2">
      <c r="A28" s="1"/>
      <c r="B28" s="632"/>
      <c r="C28" s="280" t="s">
        <v>42</v>
      </c>
      <c r="D28" s="434" t="s">
        <v>66</v>
      </c>
      <c r="E28" s="633">
        <v>35</v>
      </c>
      <c r="F28" s="634">
        <v>4.7069799999999997</v>
      </c>
      <c r="G28" s="633">
        <v>18</v>
      </c>
      <c r="H28" s="634">
        <v>2.165178</v>
      </c>
      <c r="I28" s="633">
        <v>26</v>
      </c>
      <c r="J28" s="634">
        <v>4.04643</v>
      </c>
      <c r="K28" s="633">
        <v>38</v>
      </c>
      <c r="L28" s="634">
        <v>5.4882710000000001</v>
      </c>
    </row>
    <row r="29" spans="1:12" customFormat="1" ht="13.35" customHeight="1" x14ac:dyDescent="0.2">
      <c r="A29" s="1"/>
      <c r="B29" s="632"/>
      <c r="C29" s="635" t="s">
        <v>8</v>
      </c>
      <c r="D29" s="636"/>
      <c r="E29" s="637">
        <f t="shared" ref="E29:L29" si="0">SUM(E4:E28)</f>
        <v>31054</v>
      </c>
      <c r="F29" s="638">
        <f t="shared" si="0"/>
        <v>1128.5544909999996</v>
      </c>
      <c r="G29" s="637">
        <f t="shared" si="0"/>
        <v>29343</v>
      </c>
      <c r="H29" s="638">
        <f t="shared" si="0"/>
        <v>1202.141273</v>
      </c>
      <c r="I29" s="637">
        <f t="shared" si="0"/>
        <v>30771</v>
      </c>
      <c r="J29" s="638">
        <f t="shared" si="0"/>
        <v>1625.8816220000003</v>
      </c>
      <c r="K29" s="637">
        <f t="shared" si="0"/>
        <v>38365</v>
      </c>
      <c r="L29" s="638">
        <f t="shared" si="0"/>
        <v>2122.4801520000001</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A2.7.1!E9-E29</f>
        <v>0</v>
      </c>
      <c r="F34" s="84">
        <f>A2.7.1!F9-F29</f>
        <v>0</v>
      </c>
      <c r="G34" s="84">
        <f>A2.7.1!G9-G29</f>
        <v>0</v>
      </c>
      <c r="H34" s="84">
        <f>A2.7.1!H9-H29</f>
        <v>0</v>
      </c>
      <c r="I34" s="84">
        <f>A2.7.1!I9-I29</f>
        <v>0</v>
      </c>
      <c r="J34" s="84">
        <f>A2.7.1!J9-J29</f>
        <v>0</v>
      </c>
      <c r="K34" s="84">
        <f>A2.7.1!K9-K29</f>
        <v>0</v>
      </c>
      <c r="L34" s="107">
        <f>A2.7.1!L9-L29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15" customHeight="1" x14ac:dyDescent="0.2">
      <c r="A1" s="69"/>
      <c r="B1" s="439" t="s">
        <v>520</v>
      </c>
      <c r="C1" s="311"/>
      <c r="D1" s="311"/>
      <c r="E1" s="311"/>
      <c r="F1" s="311"/>
      <c r="G1" s="311"/>
      <c r="H1" s="311"/>
      <c r="I1" s="311"/>
      <c r="J1" s="311"/>
      <c r="K1" s="311"/>
      <c r="L1" s="311"/>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A2.7.5!E4/A2.7.5!E$29</f>
        <v>3.4939138275262446E-2</v>
      </c>
      <c r="F4" s="640">
        <f>A2.7.5!F4/A2.7.5!F$29</f>
        <v>6.7690279564888128E-2</v>
      </c>
      <c r="G4" s="639">
        <f>A2.7.5!G4/A2.7.5!G$29</f>
        <v>2.6991105203966876E-2</v>
      </c>
      <c r="H4" s="640">
        <f>A2.7.5!H4/A2.7.5!H$29</f>
        <v>5.5369340105836294E-2</v>
      </c>
      <c r="I4" s="639">
        <f>A2.7.5!I4/A2.7.5!I$29</f>
        <v>2.4666081700302232E-2</v>
      </c>
      <c r="J4" s="640">
        <f>A2.7.5!J4/A2.7.5!J$29</f>
        <v>4.0656553408043868E-2</v>
      </c>
      <c r="K4" s="639">
        <f>A2.7.5!K4/A2.7.5!K$29</f>
        <v>2.1425778704548416E-2</v>
      </c>
      <c r="L4" s="640">
        <f>A2.7.5!L4/A2.7.5!L$29</f>
        <v>3.5823885056523244E-2</v>
      </c>
    </row>
    <row r="5" spans="1:12" ht="13.35" customHeight="1" x14ac:dyDescent="0.2">
      <c r="B5" s="145"/>
      <c r="C5" s="16" t="s">
        <v>19</v>
      </c>
      <c r="D5" s="339" t="s">
        <v>129</v>
      </c>
      <c r="E5" s="639">
        <f>A2.7.5!E5/A2.7.5!E$29</f>
        <v>6.4403941521221095E-5</v>
      </c>
      <c r="F5" s="640">
        <f>A2.7.5!F5/A2.7.5!F$29</f>
        <v>1.0852023626389525E-4</v>
      </c>
      <c r="G5" s="639">
        <f>A2.7.5!G5/A2.7.5!G$29</f>
        <v>6.8159356575673931E-5</v>
      </c>
      <c r="H5" s="640">
        <f>A2.7.5!H5/A2.7.5!H$29</f>
        <v>6.5267703357523778E-5</v>
      </c>
      <c r="I5" s="639">
        <f>A2.7.5!I5/A2.7.5!I$29</f>
        <v>0</v>
      </c>
      <c r="J5" s="640">
        <f>A2.7.5!J5/A2.7.5!J$29</f>
        <v>0</v>
      </c>
      <c r="K5" s="639">
        <f>A2.7.5!K5/A2.7.5!K$29</f>
        <v>0</v>
      </c>
      <c r="L5" s="640">
        <f>A2.7.5!L5/A2.7.5!L$29</f>
        <v>0</v>
      </c>
    </row>
    <row r="6" spans="1:12" ht="13.35" customHeight="1" x14ac:dyDescent="0.2">
      <c r="B6" s="145"/>
      <c r="C6" s="16" t="s">
        <v>20</v>
      </c>
      <c r="D6" s="338" t="s">
        <v>44</v>
      </c>
      <c r="E6" s="639">
        <f>A2.7.5!E6/A2.7.5!E$29</f>
        <v>1.8387325304308623E-2</v>
      </c>
      <c r="F6" s="640">
        <f>A2.7.5!F6/A2.7.5!F$29</f>
        <v>2.2660464518057557E-2</v>
      </c>
      <c r="G6" s="639">
        <f>A2.7.5!G6/A2.7.5!G$29</f>
        <v>1.4313464880891524E-2</v>
      </c>
      <c r="H6" s="640">
        <f>A2.7.5!H6/A2.7.5!H$29</f>
        <v>1.6445140387422671E-2</v>
      </c>
      <c r="I6" s="639">
        <f>A2.7.5!I6/A2.7.5!I$29</f>
        <v>1.1666829157323455E-2</v>
      </c>
      <c r="J6" s="640">
        <f>A2.7.5!J6/A2.7.5!J$29</f>
        <v>1.1254628106006106E-2</v>
      </c>
      <c r="K6" s="639">
        <f>A2.7.5!K6/A2.7.5!K$29</f>
        <v>9.9309266258308347E-3</v>
      </c>
      <c r="L6" s="640">
        <f>A2.7.5!L6/A2.7.5!L$29</f>
        <v>9.6360543021935408E-3</v>
      </c>
    </row>
    <row r="7" spans="1:12" ht="13.35" customHeight="1" x14ac:dyDescent="0.2">
      <c r="B7" s="145"/>
      <c r="C7" s="16" t="s">
        <v>21</v>
      </c>
      <c r="D7" s="338" t="s">
        <v>45</v>
      </c>
      <c r="E7" s="639">
        <f>A2.7.5!E7/A2.7.5!E$29</f>
        <v>1.3685837573259484E-2</v>
      </c>
      <c r="F7" s="640">
        <f>A2.7.5!F7/A2.7.5!F$29</f>
        <v>1.4352757557720804E-2</v>
      </c>
      <c r="G7" s="639">
        <f>A2.7.5!G7/A2.7.5!G$29</f>
        <v>1.155301093957673E-2</v>
      </c>
      <c r="H7" s="640">
        <f>A2.7.5!H7/A2.7.5!H$29</f>
        <v>1.2197321836732245E-2</v>
      </c>
      <c r="I7" s="639">
        <f>A2.7.5!I7/A2.7.5!I$29</f>
        <v>1.0106918852166E-2</v>
      </c>
      <c r="J7" s="640">
        <f>A2.7.5!J7/A2.7.5!J$29</f>
        <v>9.4039441698049991E-3</v>
      </c>
      <c r="K7" s="639">
        <f>A2.7.5!K7/A2.7.5!K$29</f>
        <v>8.6797862635214391E-3</v>
      </c>
      <c r="L7" s="640">
        <f>A2.7.5!L7/A2.7.5!L$29</f>
        <v>7.3780826573307803E-3</v>
      </c>
    </row>
    <row r="8" spans="1:12" ht="13.35" customHeight="1" x14ac:dyDescent="0.2">
      <c r="B8" s="145"/>
      <c r="C8" s="16" t="s">
        <v>22</v>
      </c>
      <c r="D8" s="338" t="s">
        <v>46</v>
      </c>
      <c r="E8" s="639">
        <f>A2.7.5!E8/A2.7.5!E$29</f>
        <v>2.0577059316030141E-2</v>
      </c>
      <c r="F8" s="640">
        <f>A2.7.5!F8/A2.7.5!F$29</f>
        <v>1.8880012591257329E-2</v>
      </c>
      <c r="G8" s="639">
        <f>A2.7.5!G8/A2.7.5!G$29</f>
        <v>1.6051528473571209E-2</v>
      </c>
      <c r="H8" s="640">
        <f>A2.7.5!H8/A2.7.5!H$29</f>
        <v>1.4985342741825987E-2</v>
      </c>
      <c r="I8" s="639">
        <f>A2.7.5!I8/A2.7.5!I$29</f>
        <v>1.3714211432842611E-2</v>
      </c>
      <c r="J8" s="640">
        <f>A2.7.5!J8/A2.7.5!J$29</f>
        <v>1.0666517639006806E-2</v>
      </c>
      <c r="K8" s="639">
        <f>A2.7.5!K8/A2.7.5!K$29</f>
        <v>1.2016160563013164E-2</v>
      </c>
      <c r="L8" s="640">
        <f>A2.7.5!L8/A2.7.5!L$29</f>
        <v>9.60884886522133E-3</v>
      </c>
    </row>
    <row r="9" spans="1:12" ht="13.35" customHeight="1" x14ac:dyDescent="0.2">
      <c r="B9" s="145"/>
      <c r="C9" s="16" t="s">
        <v>23</v>
      </c>
      <c r="D9" s="338" t="s">
        <v>47</v>
      </c>
      <c r="E9" s="639">
        <f>A2.7.5!E9/A2.7.5!E$29</f>
        <v>3.2588394409737875E-2</v>
      </c>
      <c r="F9" s="640">
        <f>A2.7.5!F9/A2.7.5!F$29</f>
        <v>2.6222225188061398E-2</v>
      </c>
      <c r="G9" s="639">
        <f>A2.7.5!G9/A2.7.5!G$29</f>
        <v>2.3412738983743995E-2</v>
      </c>
      <c r="H9" s="640">
        <f>A2.7.5!H9/A2.7.5!H$29</f>
        <v>1.8921370982659873E-2</v>
      </c>
      <c r="I9" s="639">
        <f>A2.7.5!I9/A2.7.5!I$29</f>
        <v>1.8523934873744759E-2</v>
      </c>
      <c r="J9" s="640">
        <f>A2.7.5!J9/A2.7.5!J$29</f>
        <v>1.3815999698900586E-2</v>
      </c>
      <c r="K9" s="639">
        <f>A2.7.5!K9/A2.7.5!K$29</f>
        <v>1.7177114557539425E-2</v>
      </c>
      <c r="L9" s="640">
        <f>A2.7.5!L9/A2.7.5!L$29</f>
        <v>1.3145103370559102E-2</v>
      </c>
    </row>
    <row r="10" spans="1:12" s="50" customFormat="1" ht="13.35" customHeight="1" x14ac:dyDescent="0.2">
      <c r="B10" s="145"/>
      <c r="C10" s="16" t="s">
        <v>24</v>
      </c>
      <c r="D10" s="338" t="s">
        <v>48</v>
      </c>
      <c r="E10" s="639">
        <f>A2.7.5!E10/A2.7.5!E$29</f>
        <v>3.4230694918529016E-2</v>
      </c>
      <c r="F10" s="640">
        <f>A2.7.5!F10/A2.7.5!F$29</f>
        <v>2.6252030572088709E-2</v>
      </c>
      <c r="G10" s="639">
        <f>A2.7.5!G10/A2.7.5!G$29</f>
        <v>3.4727192175305864E-2</v>
      </c>
      <c r="H10" s="640">
        <f>A2.7.5!H10/A2.7.5!H$29</f>
        <v>2.5050324513731258E-2</v>
      </c>
      <c r="I10" s="639">
        <f>A2.7.5!I10/A2.7.5!I$29</f>
        <v>2.9313314484417145E-2</v>
      </c>
      <c r="J10" s="640">
        <f>A2.7.5!J10/A2.7.5!J$29</f>
        <v>1.9946551803757328E-2</v>
      </c>
      <c r="K10" s="639">
        <f>A2.7.5!K10/A2.7.5!K$29</f>
        <v>2.6195751335852991E-2</v>
      </c>
      <c r="L10" s="640">
        <f>A2.7.5!L10/A2.7.5!L$29</f>
        <v>1.7325353532917278E-2</v>
      </c>
    </row>
    <row r="11" spans="1:12" s="1" customFormat="1" ht="13.35" customHeight="1" x14ac:dyDescent="0.2">
      <c r="B11" s="631"/>
      <c r="C11" s="16" t="s">
        <v>25</v>
      </c>
      <c r="D11" s="338" t="s">
        <v>49</v>
      </c>
      <c r="E11" s="639">
        <f>A2.7.5!E11/A2.7.5!E$29</f>
        <v>3.8062729439041668E-2</v>
      </c>
      <c r="F11" s="640">
        <f>A2.7.5!F11/A2.7.5!F$29</f>
        <v>2.9159646487995777E-2</v>
      </c>
      <c r="G11" s="639">
        <f>A2.7.5!G11/A2.7.5!G$29</f>
        <v>3.6397096411409875E-2</v>
      </c>
      <c r="H11" s="640">
        <f>A2.7.5!H11/A2.7.5!H$29</f>
        <v>2.6228326660239373E-2</v>
      </c>
      <c r="I11" s="639">
        <f>A2.7.5!I11/A2.7.5!I$29</f>
        <v>3.2920607065093754E-2</v>
      </c>
      <c r="J11" s="640">
        <f>A2.7.5!J11/A2.7.5!J$29</f>
        <v>2.132643701166086E-2</v>
      </c>
      <c r="K11" s="639">
        <f>A2.7.5!K11/A2.7.5!K$29</f>
        <v>3.0548677179721099E-2</v>
      </c>
      <c r="L11" s="640">
        <f>A2.7.5!L11/A2.7.5!L$29</f>
        <v>1.9527139022216873E-2</v>
      </c>
    </row>
    <row r="12" spans="1:12" s="1" customFormat="1" ht="13.35" customHeight="1" x14ac:dyDescent="0.2">
      <c r="B12" s="631"/>
      <c r="C12" s="16" t="s">
        <v>26</v>
      </c>
      <c r="D12" s="338" t="s">
        <v>50</v>
      </c>
      <c r="E12" s="639">
        <f>A2.7.5!E12/A2.7.5!E$29</f>
        <v>3.8771172795775098E-2</v>
      </c>
      <c r="F12" s="640">
        <f>A2.7.5!F12/A2.7.5!F$29</f>
        <v>2.9104700093741429E-2</v>
      </c>
      <c r="G12" s="639">
        <f>A2.7.5!G12/A2.7.5!G$29</f>
        <v>3.6294857376546363E-2</v>
      </c>
      <c r="H12" s="640">
        <f>A2.7.5!H12/A2.7.5!H$29</f>
        <v>2.478225618662375E-2</v>
      </c>
      <c r="I12" s="639">
        <f>A2.7.5!I12/A2.7.5!I$29</f>
        <v>3.1913164993012902E-2</v>
      </c>
      <c r="J12" s="640">
        <f>A2.7.5!J12/A2.7.5!J$29</f>
        <v>2.1499174064715514E-2</v>
      </c>
      <c r="K12" s="639">
        <f>A2.7.5!K12/A2.7.5!K$29</f>
        <v>3.3415873843346801E-2</v>
      </c>
      <c r="L12" s="640">
        <f>A2.7.5!L12/A2.7.5!L$29</f>
        <v>2.2355469357529235E-2</v>
      </c>
    </row>
    <row r="13" spans="1:12" s="1" customFormat="1" ht="13.35" customHeight="1" x14ac:dyDescent="0.2">
      <c r="B13" s="631"/>
      <c r="C13" s="16" t="s">
        <v>27</v>
      </c>
      <c r="D13" s="338" t="s">
        <v>51</v>
      </c>
      <c r="E13" s="639">
        <f>A2.7.5!E13/A2.7.5!E$29</f>
        <v>3.9801635860114641E-2</v>
      </c>
      <c r="F13" s="640">
        <f>A2.7.5!F13/A2.7.5!F$29</f>
        <v>2.8608972147539845E-2</v>
      </c>
      <c r="G13" s="639">
        <f>A2.7.5!G13/A2.7.5!G$29</f>
        <v>3.8441877108680092E-2</v>
      </c>
      <c r="H13" s="640">
        <f>A2.7.5!H13/A2.7.5!H$29</f>
        <v>2.7949754953634304E-2</v>
      </c>
      <c r="I13" s="639">
        <f>A2.7.5!I13/A2.7.5!I$29</f>
        <v>3.4285528582106532E-2</v>
      </c>
      <c r="J13" s="640">
        <f>A2.7.5!J13/A2.7.5!J$29</f>
        <v>2.3504363714371326E-2</v>
      </c>
      <c r="K13" s="639">
        <f>A2.7.5!K13/A2.7.5!K$29</f>
        <v>3.4536687084582303E-2</v>
      </c>
      <c r="L13" s="640">
        <f>A2.7.5!L13/A2.7.5!L$29</f>
        <v>2.4803510624300997E-2</v>
      </c>
    </row>
    <row r="14" spans="1:12" s="1" customFormat="1" ht="13.35" customHeight="1" x14ac:dyDescent="0.2">
      <c r="B14" s="631"/>
      <c r="C14" s="16" t="s">
        <v>28</v>
      </c>
      <c r="D14" s="338" t="s">
        <v>52</v>
      </c>
      <c r="E14" s="639">
        <f>A2.7.5!E14/A2.7.5!E$29</f>
        <v>4.0671089070651124E-2</v>
      </c>
      <c r="F14" s="640">
        <f>A2.7.5!F14/A2.7.5!F$29</f>
        <v>3.1849064698817466E-2</v>
      </c>
      <c r="G14" s="639">
        <f>A2.7.5!G14/A2.7.5!G$29</f>
        <v>3.7521725794908499E-2</v>
      </c>
      <c r="H14" s="640">
        <f>A2.7.5!H14/A2.7.5!H$29</f>
        <v>2.7848161236869871E-2</v>
      </c>
      <c r="I14" s="639">
        <f>A2.7.5!I14/A2.7.5!I$29</f>
        <v>3.5195476260115044E-2</v>
      </c>
      <c r="J14" s="640">
        <f>A2.7.5!J14/A2.7.5!J$29</f>
        <v>2.6563643635305199E-2</v>
      </c>
      <c r="K14" s="639">
        <f>A2.7.5!K14/A2.7.5!K$29</f>
        <v>3.5318649811025678E-2</v>
      </c>
      <c r="L14" s="640">
        <f>A2.7.5!L14/A2.7.5!L$29</f>
        <v>2.5216822380914307E-2</v>
      </c>
    </row>
    <row r="15" spans="1:12" customFormat="1" ht="13.35" customHeight="1" x14ac:dyDescent="0.2">
      <c r="A15" s="1"/>
      <c r="B15" s="631"/>
      <c r="C15" s="16" t="s">
        <v>29</v>
      </c>
      <c r="D15" s="338" t="s">
        <v>53</v>
      </c>
      <c r="E15" s="639">
        <f>A2.7.5!E15/A2.7.5!E$29</f>
        <v>4.2732015199330196E-2</v>
      </c>
      <c r="F15" s="640">
        <f>A2.7.5!F15/A2.7.5!F$29</f>
        <v>3.1648476245353059E-2</v>
      </c>
      <c r="G15" s="639">
        <f>A2.7.5!G15/A2.7.5!G$29</f>
        <v>4.0111781344784103E-2</v>
      </c>
      <c r="H15" s="640">
        <f>A2.7.5!H15/A2.7.5!H$29</f>
        <v>3.1204535475590479E-2</v>
      </c>
      <c r="I15" s="639">
        <f>A2.7.5!I15/A2.7.5!I$29</f>
        <v>3.5292970654187385E-2</v>
      </c>
      <c r="J15" s="640">
        <f>A2.7.5!J15/A2.7.5!J$29</f>
        <v>2.7220168677200281E-2</v>
      </c>
      <c r="K15" s="639">
        <f>A2.7.5!K15/A2.7.5!K$29</f>
        <v>3.5057995568877884E-2</v>
      </c>
      <c r="L15" s="640">
        <f>A2.7.5!L15/A2.7.5!L$29</f>
        <v>2.8141983303691217E-2</v>
      </c>
    </row>
    <row r="16" spans="1:12" customFormat="1" ht="13.35" customHeight="1" x14ac:dyDescent="0.2">
      <c r="A16" s="1"/>
      <c r="B16" s="631"/>
      <c r="C16" s="16" t="s">
        <v>30</v>
      </c>
      <c r="D16" s="338" t="s">
        <v>54</v>
      </c>
      <c r="E16" s="639">
        <f>A2.7.5!E16/A2.7.5!E$29</f>
        <v>3.9866039801635861E-2</v>
      </c>
      <c r="F16" s="640">
        <f>A2.7.5!F16/A2.7.5!F$29</f>
        <v>2.9188313247339698E-2</v>
      </c>
      <c r="G16" s="639">
        <f>A2.7.5!G16/A2.7.5!G$29</f>
        <v>3.8407797430392257E-2</v>
      </c>
      <c r="H16" s="640">
        <f>A2.7.5!H16/A2.7.5!H$29</f>
        <v>2.930105952696959E-2</v>
      </c>
      <c r="I16" s="639">
        <f>A2.7.5!I16/A2.7.5!I$29</f>
        <v>3.4025543531246955E-2</v>
      </c>
      <c r="J16" s="640">
        <f>A2.7.5!J16/A2.7.5!J$29</f>
        <v>2.582902865237011E-2</v>
      </c>
      <c r="K16" s="639">
        <f>A2.7.5!K16/A2.7.5!K$29</f>
        <v>3.8055519353577483E-2</v>
      </c>
      <c r="L16" s="640">
        <f>A2.7.5!L16/A2.7.5!L$29</f>
        <v>3.2439626789970567E-2</v>
      </c>
    </row>
    <row r="17" spans="1:12" customFormat="1" ht="13.35" customHeight="1" x14ac:dyDescent="0.2">
      <c r="A17" s="1"/>
      <c r="B17" s="631"/>
      <c r="C17" s="16" t="s">
        <v>31</v>
      </c>
      <c r="D17" s="338" t="s">
        <v>55</v>
      </c>
      <c r="E17" s="639">
        <f>A2.7.5!E17/A2.7.5!E$29</f>
        <v>4.0574483158369291E-2</v>
      </c>
      <c r="F17" s="640">
        <f>A2.7.5!F17/A2.7.5!F$29</f>
        <v>3.0163267499681602E-2</v>
      </c>
      <c r="G17" s="639">
        <f>A2.7.5!G17/A2.7.5!G$29</f>
        <v>3.8101080325801721E-2</v>
      </c>
      <c r="H17" s="640">
        <f>A2.7.5!H17/A2.7.5!H$29</f>
        <v>2.9889604331054361E-2</v>
      </c>
      <c r="I17" s="639">
        <f>A2.7.5!I17/A2.7.5!I$29</f>
        <v>3.3050599590523547E-2</v>
      </c>
      <c r="J17" s="640">
        <f>A2.7.5!J17/A2.7.5!J$29</f>
        <v>2.5773747874985199E-2</v>
      </c>
      <c r="K17" s="639">
        <f>A2.7.5!K17/A2.7.5!K$29</f>
        <v>3.6126677961683826E-2</v>
      </c>
      <c r="L17" s="640">
        <f>A2.7.5!L17/A2.7.5!L$29</f>
        <v>3.0462451646049601E-2</v>
      </c>
    </row>
    <row r="18" spans="1:12" customFormat="1" ht="13.35" customHeight="1" x14ac:dyDescent="0.2">
      <c r="A18" s="1"/>
      <c r="B18" s="631"/>
      <c r="C18" s="16" t="s">
        <v>32</v>
      </c>
      <c r="D18" s="338" t="s">
        <v>56</v>
      </c>
      <c r="E18" s="639">
        <f>A2.7.5!E18/A2.7.5!E$29</f>
        <v>4.0510079216848072E-2</v>
      </c>
      <c r="F18" s="640">
        <f>A2.7.5!F18/A2.7.5!F$29</f>
        <v>3.087310562126859E-2</v>
      </c>
      <c r="G18" s="639">
        <f>A2.7.5!G18/A2.7.5!G$29</f>
        <v>3.735132740346931E-2</v>
      </c>
      <c r="H18" s="640">
        <f>A2.7.5!H18/A2.7.5!H$29</f>
        <v>2.7890873354948859E-2</v>
      </c>
      <c r="I18" s="639">
        <f>A2.7.5!I18/A2.7.5!I$29</f>
        <v>3.5325468785544829E-2</v>
      </c>
      <c r="J18" s="640">
        <f>A2.7.5!J18/A2.7.5!J$29</f>
        <v>2.6667081055179054E-2</v>
      </c>
      <c r="K18" s="639">
        <f>A2.7.5!K18/A2.7.5!K$29</f>
        <v>3.4588817933011863E-2</v>
      </c>
      <c r="L18" s="640">
        <f>A2.7.5!L18/A2.7.5!L$29</f>
        <v>2.9304990645679308E-2</v>
      </c>
    </row>
    <row r="19" spans="1:12" customFormat="1" ht="13.35" customHeight="1" x14ac:dyDescent="0.2">
      <c r="A19" s="1"/>
      <c r="B19" s="631"/>
      <c r="C19" s="16" t="s">
        <v>33</v>
      </c>
      <c r="D19" s="338" t="s">
        <v>57</v>
      </c>
      <c r="E19" s="639">
        <f>A2.7.5!E19/A2.7.5!E$29</f>
        <v>3.7933921555999228E-2</v>
      </c>
      <c r="F19" s="640">
        <f>A2.7.5!F19/A2.7.5!F$29</f>
        <v>2.8524617337241195E-2</v>
      </c>
      <c r="G19" s="639">
        <f>A2.7.5!G19/A2.7.5!G$29</f>
        <v>3.5817741880516646E-2</v>
      </c>
      <c r="H19" s="640">
        <f>A2.7.5!H19/A2.7.5!H$29</f>
        <v>2.7458311049935978E-2</v>
      </c>
      <c r="I19" s="639">
        <f>A2.7.5!I19/A2.7.5!I$29</f>
        <v>3.6625394039842711E-2</v>
      </c>
      <c r="J19" s="640">
        <f>A2.7.5!J19/A2.7.5!J$29</f>
        <v>2.950950939526641E-2</v>
      </c>
      <c r="K19" s="639">
        <f>A2.7.5!K19/A2.7.5!K$29</f>
        <v>3.3389808419132021E-2</v>
      </c>
      <c r="L19" s="640">
        <f>A2.7.5!L19/A2.7.5!L$29</f>
        <v>2.8496994868482516E-2</v>
      </c>
    </row>
    <row r="20" spans="1:12" customFormat="1" ht="13.35" customHeight="1" x14ac:dyDescent="0.2">
      <c r="A20" s="1"/>
      <c r="B20" s="631"/>
      <c r="C20" s="16" t="s">
        <v>34</v>
      </c>
      <c r="D20" s="338" t="s">
        <v>58</v>
      </c>
      <c r="E20" s="639">
        <f>A2.7.5!E20/A2.7.5!E$29</f>
        <v>0.13061119340503638</v>
      </c>
      <c r="F20" s="640">
        <f>A2.7.5!F20/A2.7.5!F$29</f>
        <v>0.10733565721994015</v>
      </c>
      <c r="G20" s="639">
        <f>A2.7.5!G20/A2.7.5!G$29</f>
        <v>0.14858739733496915</v>
      </c>
      <c r="H20" s="640">
        <f>A2.7.5!H20/A2.7.5!H$29</f>
        <v>0.11893560450111923</v>
      </c>
      <c r="I20" s="639">
        <f>A2.7.5!I20/A2.7.5!I$29</f>
        <v>0.15127880146891554</v>
      </c>
      <c r="J20" s="640">
        <f>A2.7.5!J20/A2.7.5!J$29</f>
        <v>0.12863098282809668</v>
      </c>
      <c r="K20" s="639">
        <f>A2.7.5!K20/A2.7.5!K$29</f>
        <v>0.15965072331552196</v>
      </c>
      <c r="L20" s="640">
        <f>A2.7.5!L20/A2.7.5!L$29</f>
        <v>0.13839820067254979</v>
      </c>
    </row>
    <row r="21" spans="1:12" customFormat="1" ht="13.35" customHeight="1" x14ac:dyDescent="0.2">
      <c r="A21" s="1"/>
      <c r="B21" s="631"/>
      <c r="C21" s="16" t="s">
        <v>35</v>
      </c>
      <c r="D21" s="338" t="s">
        <v>59</v>
      </c>
      <c r="E21" s="639">
        <f>A2.7.5!E21/A2.7.5!E$29</f>
        <v>0.14188188317125008</v>
      </c>
      <c r="F21" s="640">
        <f>A2.7.5!F21/A2.7.5!F$29</f>
        <v>0.13811421534629295</v>
      </c>
      <c r="G21" s="639">
        <f>A2.7.5!G21/A2.7.5!G$29</f>
        <v>0.15850458371672971</v>
      </c>
      <c r="H21" s="640">
        <f>A2.7.5!H21/A2.7.5!H$29</f>
        <v>0.15167474413799617</v>
      </c>
      <c r="I21" s="639">
        <f>A2.7.5!I21/A2.7.5!I$29</f>
        <v>0.16723538396542198</v>
      </c>
      <c r="J21" s="640">
        <f>A2.7.5!J21/A2.7.5!J$29</f>
        <v>0.16263741001926396</v>
      </c>
      <c r="K21" s="639">
        <f>A2.7.5!K21/A2.7.5!K$29</f>
        <v>0.17338720187671056</v>
      </c>
      <c r="L21" s="640">
        <f>A2.7.5!L21/A2.7.5!L$29</f>
        <v>0.16717336869588781</v>
      </c>
    </row>
    <row r="22" spans="1:12" customFormat="1" ht="13.35" customHeight="1" x14ac:dyDescent="0.2">
      <c r="A22" s="1"/>
      <c r="B22" s="631"/>
      <c r="C22" s="16" t="s">
        <v>36</v>
      </c>
      <c r="D22" s="338" t="s">
        <v>60</v>
      </c>
      <c r="E22" s="639">
        <f>A2.7.5!E22/A2.7.5!E$29</f>
        <v>7.6061054936562122E-2</v>
      </c>
      <c r="F22" s="640">
        <f>A2.7.5!F22/A2.7.5!F$29</f>
        <v>8.4593023873758194E-2</v>
      </c>
      <c r="G22" s="639">
        <f>A2.7.5!G22/A2.7.5!G$29</f>
        <v>8.0973315611900618E-2</v>
      </c>
      <c r="H22" s="640">
        <f>A2.7.5!H22/A2.7.5!H$29</f>
        <v>9.1044828472501838E-2</v>
      </c>
      <c r="I22" s="639">
        <f>A2.7.5!I22/A2.7.5!I$29</f>
        <v>8.8817392999902503E-2</v>
      </c>
      <c r="J22" s="640">
        <f>A2.7.5!J22/A2.7.5!J$29</f>
        <v>0.10089854007833786</v>
      </c>
      <c r="K22" s="639">
        <f>A2.7.5!K22/A2.7.5!K$29</f>
        <v>8.7240974846865632E-2</v>
      </c>
      <c r="L22" s="640">
        <f>A2.7.5!L22/A2.7.5!L$29</f>
        <v>9.5879082689297151E-2</v>
      </c>
    </row>
    <row r="23" spans="1:12" customFormat="1" ht="13.35" customHeight="1" x14ac:dyDescent="0.2">
      <c r="A23" s="1"/>
      <c r="B23" s="631"/>
      <c r="C23" s="16" t="s">
        <v>37</v>
      </c>
      <c r="D23" s="338" t="s">
        <v>61</v>
      </c>
      <c r="E23" s="639">
        <f>A2.7.5!E23/A2.7.5!E$29</f>
        <v>4.4953951181812328E-2</v>
      </c>
      <c r="F23" s="640">
        <f>A2.7.5!F23/A2.7.5!F$29</f>
        <v>5.9179065373104807E-2</v>
      </c>
      <c r="G23" s="639">
        <f>A2.7.5!G23/A2.7.5!G$29</f>
        <v>4.8359063490440647E-2</v>
      </c>
      <c r="H23" s="640">
        <f>A2.7.5!H23/A2.7.5!H$29</f>
        <v>6.5970244746766965E-2</v>
      </c>
      <c r="I23" s="639">
        <f>A2.7.5!I23/A2.7.5!I$29</f>
        <v>5.5084332650872578E-2</v>
      </c>
      <c r="J23" s="640">
        <f>A2.7.5!J23/A2.7.5!J$29</f>
        <v>6.9465570845845981E-2</v>
      </c>
      <c r="K23" s="639">
        <f>A2.7.5!K23/A2.7.5!K$29</f>
        <v>5.2991007428645903E-2</v>
      </c>
      <c r="L23" s="640">
        <f>A2.7.5!L23/A2.7.5!L$29</f>
        <v>6.6191724274837882E-2</v>
      </c>
    </row>
    <row r="24" spans="1:12" customFormat="1" ht="13.35" customHeight="1" x14ac:dyDescent="0.2">
      <c r="A24" s="1"/>
      <c r="B24" s="631"/>
      <c r="C24" s="16" t="s">
        <v>38</v>
      </c>
      <c r="D24" s="338" t="s">
        <v>62</v>
      </c>
      <c r="E24" s="639">
        <f>A2.7.5!E24/A2.7.5!E$29</f>
        <v>4.9591034971340243E-2</v>
      </c>
      <c r="F24" s="640">
        <f>A2.7.5!F24/A2.7.5!F$29</f>
        <v>7.6370455026615131E-2</v>
      </c>
      <c r="G24" s="639">
        <f>A2.7.5!G24/A2.7.5!G$29</f>
        <v>5.4016290086221587E-2</v>
      </c>
      <c r="H24" s="640">
        <f>A2.7.5!H24/A2.7.5!H$29</f>
        <v>8.1681593674057307E-2</v>
      </c>
      <c r="I24" s="639">
        <f>A2.7.5!I24/A2.7.5!I$29</f>
        <v>6.5971206655617301E-2</v>
      </c>
      <c r="J24" s="640">
        <f>A2.7.5!J24/A2.7.5!J$29</f>
        <v>9.6201083082295871E-2</v>
      </c>
      <c r="K24" s="639">
        <f>A2.7.5!K24/A2.7.5!K$29</f>
        <v>6.6154046657109347E-2</v>
      </c>
      <c r="L24" s="640">
        <f>A2.7.5!L24/A2.7.5!L$29</f>
        <v>9.6412859176644952E-2</v>
      </c>
    </row>
    <row r="25" spans="1:12" customFormat="1" ht="13.35" customHeight="1" x14ac:dyDescent="0.2">
      <c r="A25" s="1"/>
      <c r="B25" s="631"/>
      <c r="C25" s="16" t="s">
        <v>39</v>
      </c>
      <c r="D25" s="338" t="s">
        <v>63</v>
      </c>
      <c r="E25" s="639">
        <f>A2.7.5!E25/A2.7.5!E$29</f>
        <v>1.8161911508984351E-2</v>
      </c>
      <c r="F25" s="640">
        <f>A2.7.5!F25/A2.7.5!F$29</f>
        <v>3.0081444246363831E-2</v>
      </c>
      <c r="G25" s="639">
        <f>A2.7.5!G25/A2.7.5!G$29</f>
        <v>2.0209249224687319E-2</v>
      </c>
      <c r="H25" s="640">
        <f>A2.7.5!H25/A2.7.5!H$29</f>
        <v>3.6132628481843995E-2</v>
      </c>
      <c r="I25" s="639">
        <f>A2.7.5!I25/A2.7.5!I$29</f>
        <v>2.460108543758734E-2</v>
      </c>
      <c r="J25" s="640">
        <f>A2.7.5!J25/A2.7.5!J$29</f>
        <v>4.1672158712671631E-2</v>
      </c>
      <c r="K25" s="639">
        <f>A2.7.5!K25/A2.7.5!K$29</f>
        <v>2.4423302489248011E-2</v>
      </c>
      <c r="L25" s="640">
        <f>A2.7.5!L25/A2.7.5!L$29</f>
        <v>4.0164466046794862E-2</v>
      </c>
    </row>
    <row r="26" spans="1:12" customFormat="1" ht="13.35" customHeight="1" x14ac:dyDescent="0.2">
      <c r="A26" s="1"/>
      <c r="B26" s="631"/>
      <c r="C26" s="16" t="s">
        <v>40</v>
      </c>
      <c r="D26" s="338" t="s">
        <v>64</v>
      </c>
      <c r="E26" s="639">
        <f>A2.7.5!E26/A2.7.5!E$29</f>
        <v>1.822631545050557E-2</v>
      </c>
      <c r="F26" s="640">
        <f>A2.7.5!F26/A2.7.5!F$29</f>
        <v>3.9960457700221066E-2</v>
      </c>
      <c r="G26" s="639">
        <f>A2.7.5!G26/A2.7.5!G$29</f>
        <v>1.7687353031387385E-2</v>
      </c>
      <c r="H26" s="640">
        <f>A2.7.5!H26/A2.7.5!H$29</f>
        <v>4.1234589572235747E-2</v>
      </c>
      <c r="I26" s="639">
        <f>A2.7.5!I26/A2.7.5!I$29</f>
        <v>2.3138669526502228E-2</v>
      </c>
      <c r="J26" s="640">
        <f>A2.7.5!J26/A2.7.5!J$29</f>
        <v>4.7327055647105397E-2</v>
      </c>
      <c r="K26" s="639">
        <f>A2.7.5!K26/A2.7.5!K$29</f>
        <v>2.1973152613058777E-2</v>
      </c>
      <c r="L26" s="640">
        <f>A2.7.5!L26/A2.7.5!L$29</f>
        <v>4.3357601678058001E-2</v>
      </c>
    </row>
    <row r="27" spans="1:12" customFormat="1" ht="13.35" customHeight="1" x14ac:dyDescent="0.2">
      <c r="A27" s="1"/>
      <c r="B27" s="631"/>
      <c r="C27" s="16" t="s">
        <v>41</v>
      </c>
      <c r="D27" s="338" t="s">
        <v>65</v>
      </c>
      <c r="E27" s="639">
        <f>A2.7.5!E27/A2.7.5!E$29</f>
        <v>5.9895665614735621E-3</v>
      </c>
      <c r="F27" s="640">
        <f>A2.7.5!F27/A2.7.5!F$29</f>
        <v>1.4908423238909431E-2</v>
      </c>
      <c r="G27" s="639">
        <f>A2.7.5!G27/A2.7.5!G$29</f>
        <v>5.486828204341751E-3</v>
      </c>
      <c r="H27" s="640">
        <f>A2.7.5!H27/A2.7.5!H$29</f>
        <v>1.5937674240388552E-2</v>
      </c>
      <c r="I27" s="639">
        <f>A2.7.5!I27/A2.7.5!I$29</f>
        <v>6.4021318774170489E-3</v>
      </c>
      <c r="J27" s="640">
        <f>A2.7.5!J27/A2.7.5!J$29</f>
        <v>1.7041089354290023E-2</v>
      </c>
      <c r="K27" s="639">
        <f>A2.7.5!K27/A2.7.5!K$29</f>
        <v>6.7248794474130064E-3</v>
      </c>
      <c r="L27" s="640">
        <f>A2.7.5!L27/A2.7.5!L$29</f>
        <v>1.6170598329345413E-2</v>
      </c>
    </row>
    <row r="28" spans="1:12" customFormat="1" ht="13.35" customHeight="1" x14ac:dyDescent="0.2">
      <c r="A28" s="1"/>
      <c r="B28" s="632"/>
      <c r="C28" s="280" t="s">
        <v>42</v>
      </c>
      <c r="D28" s="434" t="s">
        <v>66</v>
      </c>
      <c r="E28" s="641">
        <f>A2.7.5!E28/A2.7.5!E$29</f>
        <v>1.1270689766213692E-3</v>
      </c>
      <c r="F28" s="642">
        <f>A2.7.5!F28/A2.7.5!F$29</f>
        <v>4.1708043674782572E-3</v>
      </c>
      <c r="G28" s="641">
        <f>A2.7.5!G28/A2.7.5!G$29</f>
        <v>6.1343420918106531E-4</v>
      </c>
      <c r="H28" s="642">
        <f>A2.7.5!H28/A2.7.5!H$29</f>
        <v>1.8011011256577995E-3</v>
      </c>
      <c r="I28" s="641">
        <f>A2.7.5!I28/A2.7.5!I$29</f>
        <v>8.449514152936206E-4</v>
      </c>
      <c r="J28" s="642">
        <f>A2.7.5!J28/A2.7.5!J$29</f>
        <v>2.4887605255187509E-3</v>
      </c>
      <c r="K28" s="641">
        <f>A2.7.5!K28/A2.7.5!K$29</f>
        <v>9.9048612016160555E-4</v>
      </c>
      <c r="L28" s="642">
        <f>A2.7.5!L28/A2.7.5!L$29</f>
        <v>2.5857820130041902E-3</v>
      </c>
    </row>
    <row r="29" spans="1:12" customFormat="1" ht="13.35" customHeight="1" x14ac:dyDescent="0.2">
      <c r="A29" s="1"/>
      <c r="B29" s="632"/>
      <c r="C29" s="635" t="s">
        <v>8</v>
      </c>
      <c r="D29" s="636"/>
      <c r="E29" s="643">
        <f>A2.7.5!E29/A2.7.5!E$29</f>
        <v>1</v>
      </c>
      <c r="F29" s="644">
        <f>A2.7.5!F29/A2.7.5!F$29</f>
        <v>1</v>
      </c>
      <c r="G29" s="643">
        <f>A2.7.5!G29/A2.7.5!G$29</f>
        <v>1</v>
      </c>
      <c r="H29" s="644">
        <f>A2.7.5!H29/A2.7.5!H$29</f>
        <v>1</v>
      </c>
      <c r="I29" s="643">
        <f>A2.7.5!I29/A2.7.5!I$29</f>
        <v>1</v>
      </c>
      <c r="J29" s="644">
        <f>A2.7.5!J29/A2.7.5!J$29</f>
        <v>1</v>
      </c>
      <c r="K29" s="643">
        <f>A2.7.5!K29/A2.7.5!K$29</f>
        <v>1</v>
      </c>
      <c r="L29" s="644">
        <f>A2.7.5!L29/A2.7.5!L$29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24.95" customHeight="1" x14ac:dyDescent="0.2">
      <c r="A1" s="69"/>
      <c r="B1" s="1044" t="s">
        <v>519</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29">
        <v>921</v>
      </c>
      <c r="F4" s="630">
        <v>36.647221999999999</v>
      </c>
      <c r="G4" s="629">
        <v>754</v>
      </c>
      <c r="H4" s="630">
        <v>31.098147000000001</v>
      </c>
      <c r="I4" s="629">
        <v>520</v>
      </c>
      <c r="J4" s="630">
        <v>23.969543999999999</v>
      </c>
      <c r="K4" s="629">
        <v>421</v>
      </c>
      <c r="L4" s="630">
        <v>19.311415</v>
      </c>
    </row>
    <row r="5" spans="1:12" ht="13.35" customHeight="1" x14ac:dyDescent="0.2">
      <c r="B5" s="145"/>
      <c r="C5" s="16" t="s">
        <v>19</v>
      </c>
      <c r="D5" s="339" t="s">
        <v>129</v>
      </c>
      <c r="E5" s="629">
        <v>12</v>
      </c>
      <c r="F5" s="630">
        <v>0.61670000000000003</v>
      </c>
      <c r="G5" s="629">
        <v>10</v>
      </c>
      <c r="H5" s="630">
        <v>0.39529399999999998</v>
      </c>
      <c r="I5" s="629">
        <v>7</v>
      </c>
      <c r="J5" s="630">
        <v>0.40051799999999999</v>
      </c>
      <c r="K5" s="629">
        <v>9</v>
      </c>
      <c r="L5" s="630">
        <v>0.294209</v>
      </c>
    </row>
    <row r="6" spans="1:12" ht="13.35" customHeight="1" x14ac:dyDescent="0.2">
      <c r="B6" s="145"/>
      <c r="C6" s="16" t="s">
        <v>20</v>
      </c>
      <c r="D6" s="338" t="s">
        <v>44</v>
      </c>
      <c r="E6" s="629">
        <v>1314</v>
      </c>
      <c r="F6" s="630">
        <v>19.995885000000001</v>
      </c>
      <c r="G6" s="629">
        <v>998</v>
      </c>
      <c r="H6" s="630">
        <v>16.224777</v>
      </c>
      <c r="I6" s="629">
        <v>529</v>
      </c>
      <c r="J6" s="630">
        <v>8.92028</v>
      </c>
      <c r="K6" s="629">
        <v>511</v>
      </c>
      <c r="L6" s="630">
        <v>8.828303</v>
      </c>
    </row>
    <row r="7" spans="1:12" ht="13.35" customHeight="1" x14ac:dyDescent="0.2">
      <c r="B7" s="145"/>
      <c r="C7" s="16" t="s">
        <v>21</v>
      </c>
      <c r="D7" s="338" t="s">
        <v>45</v>
      </c>
      <c r="E7" s="629">
        <v>1124</v>
      </c>
      <c r="F7" s="630">
        <v>19.930517999999999</v>
      </c>
      <c r="G7" s="629">
        <v>896</v>
      </c>
      <c r="H7" s="630">
        <v>16.825679999999998</v>
      </c>
      <c r="I7" s="629">
        <v>533</v>
      </c>
      <c r="J7" s="630">
        <v>10.166725</v>
      </c>
      <c r="K7" s="629">
        <v>502</v>
      </c>
      <c r="L7" s="630">
        <v>8.0413759999999996</v>
      </c>
    </row>
    <row r="8" spans="1:12" ht="13.35" customHeight="1" x14ac:dyDescent="0.2">
      <c r="B8" s="145"/>
      <c r="C8" s="16" t="s">
        <v>22</v>
      </c>
      <c r="D8" s="338" t="s">
        <v>46</v>
      </c>
      <c r="E8" s="629">
        <v>1834</v>
      </c>
      <c r="F8" s="630">
        <v>38.021360999999999</v>
      </c>
      <c r="G8" s="629">
        <v>1325</v>
      </c>
      <c r="H8" s="630">
        <v>26.839873000000001</v>
      </c>
      <c r="I8" s="629">
        <v>846</v>
      </c>
      <c r="J8" s="630">
        <v>17.795978000000002</v>
      </c>
      <c r="K8" s="629">
        <v>772</v>
      </c>
      <c r="L8" s="630">
        <v>14.706329</v>
      </c>
    </row>
    <row r="9" spans="1:12" ht="13.35" customHeight="1" x14ac:dyDescent="0.2">
      <c r="B9" s="145"/>
      <c r="C9" s="16" t="s">
        <v>23</v>
      </c>
      <c r="D9" s="338" t="s">
        <v>47</v>
      </c>
      <c r="E9" s="629">
        <v>3406</v>
      </c>
      <c r="F9" s="630">
        <v>77.931505999999999</v>
      </c>
      <c r="G9" s="629">
        <v>2106</v>
      </c>
      <c r="H9" s="630">
        <v>47.017479999999999</v>
      </c>
      <c r="I9" s="629">
        <v>1285</v>
      </c>
      <c r="J9" s="630">
        <v>30.952541</v>
      </c>
      <c r="K9" s="629">
        <v>973</v>
      </c>
      <c r="L9" s="630">
        <v>23.689381000000001</v>
      </c>
    </row>
    <row r="10" spans="1:12" s="50" customFormat="1" ht="13.35" customHeight="1" x14ac:dyDescent="0.2">
      <c r="B10" s="145"/>
      <c r="C10" s="16" t="s">
        <v>24</v>
      </c>
      <c r="D10" s="338" t="s">
        <v>48</v>
      </c>
      <c r="E10" s="629">
        <v>4087</v>
      </c>
      <c r="F10" s="630">
        <v>92.185180000000003</v>
      </c>
      <c r="G10" s="629">
        <v>3733</v>
      </c>
      <c r="H10" s="630">
        <v>88.391355000000004</v>
      </c>
      <c r="I10" s="629">
        <v>2242</v>
      </c>
      <c r="J10" s="630">
        <v>60.593409000000001</v>
      </c>
      <c r="K10" s="629">
        <v>1716</v>
      </c>
      <c r="L10" s="630">
        <v>43.971266999999997</v>
      </c>
    </row>
    <row r="11" spans="1:12" s="1" customFormat="1" ht="13.35" customHeight="1" x14ac:dyDescent="0.2">
      <c r="B11" s="631"/>
      <c r="C11" s="16" t="s">
        <v>25</v>
      </c>
      <c r="D11" s="338" t="s">
        <v>49</v>
      </c>
      <c r="E11" s="629">
        <v>5019</v>
      </c>
      <c r="F11" s="630">
        <v>115.63369899999999</v>
      </c>
      <c r="G11" s="629">
        <v>4237</v>
      </c>
      <c r="H11" s="630">
        <v>101.45353900000001</v>
      </c>
      <c r="I11" s="629">
        <v>2736</v>
      </c>
      <c r="J11" s="630">
        <v>69.692841000000001</v>
      </c>
      <c r="K11" s="629">
        <v>2128</v>
      </c>
      <c r="L11" s="630">
        <v>55.465580000000003</v>
      </c>
    </row>
    <row r="12" spans="1:12" s="1" customFormat="1" ht="13.35" customHeight="1" x14ac:dyDescent="0.2">
      <c r="B12" s="631"/>
      <c r="C12" s="16" t="s">
        <v>26</v>
      </c>
      <c r="D12" s="338" t="s">
        <v>50</v>
      </c>
      <c r="E12" s="629">
        <v>6276</v>
      </c>
      <c r="F12" s="630">
        <v>150.38885099999999</v>
      </c>
      <c r="G12" s="629">
        <v>4922</v>
      </c>
      <c r="H12" s="630">
        <v>120.366783</v>
      </c>
      <c r="I12" s="629">
        <v>3240</v>
      </c>
      <c r="J12" s="630">
        <v>88.083211000000006</v>
      </c>
      <c r="K12" s="629">
        <v>2613</v>
      </c>
      <c r="L12" s="630">
        <v>70.022329999999997</v>
      </c>
    </row>
    <row r="13" spans="1:12" s="1" customFormat="1" ht="13.35" customHeight="1" x14ac:dyDescent="0.2">
      <c r="B13" s="631"/>
      <c r="C13" s="16" t="s">
        <v>27</v>
      </c>
      <c r="D13" s="338" t="s">
        <v>51</v>
      </c>
      <c r="E13" s="629">
        <v>7280</v>
      </c>
      <c r="F13" s="630">
        <v>181.954668</v>
      </c>
      <c r="G13" s="629">
        <v>5631</v>
      </c>
      <c r="H13" s="630">
        <v>145.31618</v>
      </c>
      <c r="I13" s="629">
        <v>3708</v>
      </c>
      <c r="J13" s="630">
        <v>103.63761</v>
      </c>
      <c r="K13" s="629">
        <v>3064</v>
      </c>
      <c r="L13" s="630">
        <v>88.245091000000002</v>
      </c>
    </row>
    <row r="14" spans="1:12" s="1" customFormat="1" ht="13.35" customHeight="1" x14ac:dyDescent="0.2">
      <c r="B14" s="631"/>
      <c r="C14" s="16" t="s">
        <v>28</v>
      </c>
      <c r="D14" s="338" t="s">
        <v>52</v>
      </c>
      <c r="E14" s="629">
        <v>8096</v>
      </c>
      <c r="F14" s="630">
        <v>209.859612</v>
      </c>
      <c r="G14" s="629">
        <v>6654</v>
      </c>
      <c r="H14" s="630">
        <v>179.39366999999999</v>
      </c>
      <c r="I14" s="629">
        <v>4230</v>
      </c>
      <c r="J14" s="630">
        <v>125.115923</v>
      </c>
      <c r="K14" s="629">
        <v>3542</v>
      </c>
      <c r="L14" s="630">
        <v>104.629474</v>
      </c>
    </row>
    <row r="15" spans="1:12" customFormat="1" ht="13.35" customHeight="1" x14ac:dyDescent="0.2">
      <c r="A15" s="1"/>
      <c r="B15" s="631"/>
      <c r="C15" s="16" t="s">
        <v>29</v>
      </c>
      <c r="D15" s="338" t="s">
        <v>53</v>
      </c>
      <c r="E15" s="629">
        <v>8789</v>
      </c>
      <c r="F15" s="630">
        <v>237.56686199999999</v>
      </c>
      <c r="G15" s="629">
        <v>7316</v>
      </c>
      <c r="H15" s="630">
        <v>206.93567100000001</v>
      </c>
      <c r="I15" s="629">
        <v>4774</v>
      </c>
      <c r="J15" s="630">
        <v>145.50935899999999</v>
      </c>
      <c r="K15" s="629">
        <v>3933</v>
      </c>
      <c r="L15" s="630">
        <v>119.00207899999999</v>
      </c>
    </row>
    <row r="16" spans="1:12" customFormat="1" ht="13.35" customHeight="1" x14ac:dyDescent="0.2">
      <c r="A16" s="1"/>
      <c r="B16" s="631"/>
      <c r="C16" s="16" t="s">
        <v>30</v>
      </c>
      <c r="D16" s="338" t="s">
        <v>54</v>
      </c>
      <c r="E16" s="629">
        <v>9848</v>
      </c>
      <c r="F16" s="630">
        <v>281.52112699999998</v>
      </c>
      <c r="G16" s="629">
        <v>7864</v>
      </c>
      <c r="H16" s="630">
        <v>229.534042</v>
      </c>
      <c r="I16" s="629">
        <v>5378</v>
      </c>
      <c r="J16" s="630">
        <v>172.02256199999999</v>
      </c>
      <c r="K16" s="629">
        <v>4514</v>
      </c>
      <c r="L16" s="630">
        <v>139.24355299999999</v>
      </c>
    </row>
    <row r="17" spans="1:12" customFormat="1" ht="13.35" customHeight="1" x14ac:dyDescent="0.2">
      <c r="A17" s="1"/>
      <c r="B17" s="631"/>
      <c r="C17" s="16" t="s">
        <v>31</v>
      </c>
      <c r="D17" s="338" t="s">
        <v>55</v>
      </c>
      <c r="E17" s="629">
        <v>10472</v>
      </c>
      <c r="F17" s="630">
        <v>305.54739799999999</v>
      </c>
      <c r="G17" s="629">
        <v>8602</v>
      </c>
      <c r="H17" s="630">
        <v>256.28103199999998</v>
      </c>
      <c r="I17" s="629">
        <v>5670</v>
      </c>
      <c r="J17" s="630">
        <v>185.40113199999999</v>
      </c>
      <c r="K17" s="629">
        <v>4726</v>
      </c>
      <c r="L17" s="630">
        <v>153.325479</v>
      </c>
    </row>
    <row r="18" spans="1:12" customFormat="1" ht="13.35" customHeight="1" x14ac:dyDescent="0.2">
      <c r="A18" s="1"/>
      <c r="B18" s="631"/>
      <c r="C18" s="16" t="s">
        <v>32</v>
      </c>
      <c r="D18" s="338" t="s">
        <v>56</v>
      </c>
      <c r="E18" s="629">
        <v>10742</v>
      </c>
      <c r="F18" s="630">
        <v>326.25865499999998</v>
      </c>
      <c r="G18" s="629">
        <v>9125</v>
      </c>
      <c r="H18" s="630">
        <v>283.98594400000002</v>
      </c>
      <c r="I18" s="629">
        <v>6221</v>
      </c>
      <c r="J18" s="630">
        <v>208.720527</v>
      </c>
      <c r="K18" s="629">
        <v>4976</v>
      </c>
      <c r="L18" s="630">
        <v>165.866739</v>
      </c>
    </row>
    <row r="19" spans="1:12" customFormat="1" ht="13.35" customHeight="1" x14ac:dyDescent="0.2">
      <c r="A19" s="1"/>
      <c r="B19" s="631"/>
      <c r="C19" s="16" t="s">
        <v>33</v>
      </c>
      <c r="D19" s="338" t="s">
        <v>57</v>
      </c>
      <c r="E19" s="629">
        <v>11093</v>
      </c>
      <c r="F19" s="630">
        <v>345.03446200000002</v>
      </c>
      <c r="G19" s="629">
        <v>9346</v>
      </c>
      <c r="H19" s="630">
        <v>294.45559100000003</v>
      </c>
      <c r="I19" s="629">
        <v>6511</v>
      </c>
      <c r="J19" s="630">
        <v>226.98312100000001</v>
      </c>
      <c r="K19" s="629">
        <v>5260</v>
      </c>
      <c r="L19" s="630">
        <v>186.286407</v>
      </c>
    </row>
    <row r="20" spans="1:12" customFormat="1" ht="13.35" customHeight="1" x14ac:dyDescent="0.2">
      <c r="A20" s="1"/>
      <c r="B20" s="631"/>
      <c r="C20" s="16" t="s">
        <v>34</v>
      </c>
      <c r="D20" s="338" t="s">
        <v>58</v>
      </c>
      <c r="E20" s="629">
        <v>60247</v>
      </c>
      <c r="F20" s="630">
        <v>2068.7475439999998</v>
      </c>
      <c r="G20" s="629">
        <v>50824</v>
      </c>
      <c r="H20" s="630">
        <v>1778.3170379999999</v>
      </c>
      <c r="I20" s="629">
        <v>35497</v>
      </c>
      <c r="J20" s="630">
        <v>1322.8995010000001</v>
      </c>
      <c r="K20" s="629">
        <v>29858</v>
      </c>
      <c r="L20" s="630">
        <v>1127.7449899999999</v>
      </c>
    </row>
    <row r="21" spans="1:12" customFormat="1" ht="13.35" customHeight="1" x14ac:dyDescent="0.2">
      <c r="A21" s="1"/>
      <c r="B21" s="631"/>
      <c r="C21" s="16" t="s">
        <v>35</v>
      </c>
      <c r="D21" s="338" t="s">
        <v>59</v>
      </c>
      <c r="E21" s="629">
        <v>115788</v>
      </c>
      <c r="F21" s="630">
        <v>4493.4721129999998</v>
      </c>
      <c r="G21" s="629">
        <v>102286</v>
      </c>
      <c r="H21" s="630">
        <v>4136.344615</v>
      </c>
      <c r="I21" s="629">
        <v>75570</v>
      </c>
      <c r="J21" s="630">
        <v>3272.5228849999999</v>
      </c>
      <c r="K21" s="629">
        <v>66840</v>
      </c>
      <c r="L21" s="630">
        <v>2965.8405619999999</v>
      </c>
    </row>
    <row r="22" spans="1:12" customFormat="1" ht="13.35" customHeight="1" x14ac:dyDescent="0.2">
      <c r="A22" s="1"/>
      <c r="B22" s="631"/>
      <c r="C22" s="16" t="s">
        <v>36</v>
      </c>
      <c r="D22" s="338" t="s">
        <v>60</v>
      </c>
      <c r="E22" s="629">
        <v>85808</v>
      </c>
      <c r="F22" s="630">
        <v>3766.9037269999999</v>
      </c>
      <c r="G22" s="629">
        <v>84250</v>
      </c>
      <c r="H22" s="630">
        <v>3794.3301620000002</v>
      </c>
      <c r="I22" s="629">
        <v>67790</v>
      </c>
      <c r="J22" s="630">
        <v>3233.9002759999998</v>
      </c>
      <c r="K22" s="629">
        <v>61683</v>
      </c>
      <c r="L22" s="630">
        <v>3051.5220300000001</v>
      </c>
    </row>
    <row r="23" spans="1:12" customFormat="1" ht="13.35" customHeight="1" x14ac:dyDescent="0.2">
      <c r="A23" s="1"/>
      <c r="B23" s="631"/>
      <c r="C23" s="16" t="s">
        <v>37</v>
      </c>
      <c r="D23" s="338" t="s">
        <v>61</v>
      </c>
      <c r="E23" s="629">
        <v>59048</v>
      </c>
      <c r="F23" s="630">
        <v>2849.8894300000002</v>
      </c>
      <c r="G23" s="629">
        <v>56546</v>
      </c>
      <c r="H23" s="630">
        <v>2811.1034770000001</v>
      </c>
      <c r="I23" s="629">
        <v>47169</v>
      </c>
      <c r="J23" s="630">
        <v>2467.911079</v>
      </c>
      <c r="K23" s="629">
        <v>47137</v>
      </c>
      <c r="L23" s="630">
        <v>2463.9805729999998</v>
      </c>
    </row>
    <row r="24" spans="1:12" customFormat="1" ht="13.35" customHeight="1" x14ac:dyDescent="0.2">
      <c r="A24" s="1"/>
      <c r="B24" s="631"/>
      <c r="C24" s="16" t="s">
        <v>38</v>
      </c>
      <c r="D24" s="338" t="s">
        <v>62</v>
      </c>
      <c r="E24" s="629">
        <v>67459</v>
      </c>
      <c r="F24" s="630">
        <v>3473.2572270000001</v>
      </c>
      <c r="G24" s="629">
        <v>72718</v>
      </c>
      <c r="H24" s="630">
        <v>3862.7402790000001</v>
      </c>
      <c r="I24" s="629">
        <v>63965</v>
      </c>
      <c r="J24" s="630">
        <v>3574.6918409999998</v>
      </c>
      <c r="K24" s="629">
        <v>65062</v>
      </c>
      <c r="L24" s="630">
        <v>3660.261958</v>
      </c>
    </row>
    <row r="25" spans="1:12" customFormat="1" ht="13.35" customHeight="1" x14ac:dyDescent="0.2">
      <c r="A25" s="1"/>
      <c r="B25" s="631"/>
      <c r="C25" s="16" t="s">
        <v>39</v>
      </c>
      <c r="D25" s="338" t="s">
        <v>63</v>
      </c>
      <c r="E25" s="629">
        <v>23627</v>
      </c>
      <c r="F25" s="630">
        <v>1313.7208410000001</v>
      </c>
      <c r="G25" s="629">
        <v>24898</v>
      </c>
      <c r="H25" s="630">
        <v>1431.77496</v>
      </c>
      <c r="I25" s="629">
        <v>22920</v>
      </c>
      <c r="J25" s="630">
        <v>1372.3313579999999</v>
      </c>
      <c r="K25" s="629">
        <v>24320</v>
      </c>
      <c r="L25" s="630">
        <v>1420.635076</v>
      </c>
    </row>
    <row r="26" spans="1:12" customFormat="1" ht="13.35" customHeight="1" x14ac:dyDescent="0.2">
      <c r="A26" s="1"/>
      <c r="B26" s="631"/>
      <c r="C26" s="16" t="s">
        <v>40</v>
      </c>
      <c r="D26" s="338" t="s">
        <v>64</v>
      </c>
      <c r="E26" s="629">
        <v>21061</v>
      </c>
      <c r="F26" s="630">
        <v>1259.9671470000001</v>
      </c>
      <c r="G26" s="629">
        <v>20886</v>
      </c>
      <c r="H26" s="630">
        <v>1289.068111</v>
      </c>
      <c r="I26" s="629">
        <v>19474</v>
      </c>
      <c r="J26" s="630">
        <v>1243.9466789999999</v>
      </c>
      <c r="K26" s="629">
        <v>21614</v>
      </c>
      <c r="L26" s="630">
        <v>1347.1296870000001</v>
      </c>
    </row>
    <row r="27" spans="1:12" customFormat="1" ht="13.35" customHeight="1" x14ac:dyDescent="0.2">
      <c r="A27" s="1"/>
      <c r="B27" s="631"/>
      <c r="C27" s="16" t="s">
        <v>41</v>
      </c>
      <c r="D27" s="338" t="s">
        <v>65</v>
      </c>
      <c r="E27" s="629">
        <v>5270</v>
      </c>
      <c r="F27" s="630">
        <v>336.081504</v>
      </c>
      <c r="G27" s="629">
        <v>4714</v>
      </c>
      <c r="H27" s="630">
        <v>307.63015899999999</v>
      </c>
      <c r="I27" s="629">
        <v>4409</v>
      </c>
      <c r="J27" s="630">
        <v>303.55669499999999</v>
      </c>
      <c r="K27" s="629">
        <v>4705</v>
      </c>
      <c r="L27" s="630">
        <v>323.02575899999999</v>
      </c>
    </row>
    <row r="28" spans="1:12" customFormat="1" ht="13.35" customHeight="1" x14ac:dyDescent="0.2">
      <c r="A28" s="1"/>
      <c r="B28" s="632"/>
      <c r="C28" s="280" t="s">
        <v>42</v>
      </c>
      <c r="D28" s="434" t="s">
        <v>66</v>
      </c>
      <c r="E28" s="633">
        <v>828</v>
      </c>
      <c r="F28" s="634">
        <v>52.725090000000002</v>
      </c>
      <c r="G28" s="633">
        <v>653</v>
      </c>
      <c r="H28" s="634">
        <v>44.969976000000003</v>
      </c>
      <c r="I28" s="633">
        <v>565</v>
      </c>
      <c r="J28" s="634">
        <v>39.559908999999998</v>
      </c>
      <c r="K28" s="633">
        <v>615</v>
      </c>
      <c r="L28" s="634">
        <v>42.898482999999999</v>
      </c>
    </row>
    <row r="29" spans="1:12" customFormat="1" ht="13.35" customHeight="1" x14ac:dyDescent="0.2">
      <c r="A29" s="1"/>
      <c r="B29" s="632"/>
      <c r="C29" s="635" t="s">
        <v>8</v>
      </c>
      <c r="D29" s="636"/>
      <c r="E29" s="637">
        <f t="shared" ref="E29:L29" si="0">SUM(E4:E28)</f>
        <v>529449</v>
      </c>
      <c r="F29" s="638">
        <f t="shared" si="0"/>
        <v>22053.858328999995</v>
      </c>
      <c r="G29" s="637">
        <f t="shared" si="0"/>
        <v>491294</v>
      </c>
      <c r="H29" s="638">
        <f t="shared" si="0"/>
        <v>21500.793835</v>
      </c>
      <c r="I29" s="637">
        <f t="shared" si="0"/>
        <v>385789</v>
      </c>
      <c r="J29" s="638">
        <f t="shared" si="0"/>
        <v>18309.285503999999</v>
      </c>
      <c r="K29" s="637">
        <f t="shared" si="0"/>
        <v>361494</v>
      </c>
      <c r="L29" s="638">
        <f t="shared" si="0"/>
        <v>17603.968129999997</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A2.7.1!E11-E29</f>
        <v>0</v>
      </c>
      <c r="F34" s="84">
        <f>A2.7.1!F11-F29</f>
        <v>0</v>
      </c>
      <c r="G34" s="84">
        <f>A2.7.1!G11-G29</f>
        <v>0</v>
      </c>
      <c r="H34" s="84">
        <f>A2.7.1!H11-H29</f>
        <v>0</v>
      </c>
      <c r="I34" s="84">
        <f>A2.7.1!I11-I29</f>
        <v>0</v>
      </c>
      <c r="J34" s="84">
        <f>A2.7.1!J11-J29</f>
        <v>0</v>
      </c>
      <c r="K34" s="84">
        <f>A2.7.1!K11-K29</f>
        <v>0</v>
      </c>
      <c r="L34" s="107">
        <f>A2.7.1!L11-L29</f>
        <v>0</v>
      </c>
    </row>
    <row r="35" spans="1:12" customFormat="1" ht="13.35" customHeight="1" x14ac:dyDescent="0.2">
      <c r="A35" s="1"/>
      <c r="I35" s="1"/>
    </row>
  </sheetData>
  <mergeCells count="3">
    <mergeCell ref="C3:D3"/>
    <mergeCell ref="B1:L1"/>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24.95" customHeight="1" x14ac:dyDescent="0.2">
      <c r="A1" s="69"/>
      <c r="B1" s="1044" t="s">
        <v>518</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A2.7.6!E4/A2.7.6!E$29</f>
        <v>1.7395443187162502E-3</v>
      </c>
      <c r="F4" s="640">
        <f>A2.7.6!F4/A2.7.6!F$29</f>
        <v>1.6617147645230984E-3</v>
      </c>
      <c r="G4" s="639">
        <f>A2.7.6!G4/A2.7.6!G$29</f>
        <v>1.534722589732421E-3</v>
      </c>
      <c r="H4" s="640">
        <f>A2.7.6!H4/A2.7.6!H$29</f>
        <v>1.4463720381047969E-3</v>
      </c>
      <c r="I4" s="639">
        <f>A2.7.6!I4/A2.7.6!I$29</f>
        <v>1.3478870574329491E-3</v>
      </c>
      <c r="J4" s="640">
        <f>A2.7.6!J4/A2.7.6!J$29</f>
        <v>1.3091468804046675E-3</v>
      </c>
      <c r="K4" s="639">
        <f>A2.7.6!K4/A2.7.6!K$29</f>
        <v>1.1646113075182438E-3</v>
      </c>
      <c r="L4" s="640">
        <f>A2.7.6!L4/A2.7.6!L$29</f>
        <v>1.0969921586650817E-3</v>
      </c>
    </row>
    <row r="5" spans="1:12" ht="13.35" customHeight="1" x14ac:dyDescent="0.2">
      <c r="B5" s="145"/>
      <c r="C5" s="16" t="s">
        <v>19</v>
      </c>
      <c r="D5" s="339" t="s">
        <v>129</v>
      </c>
      <c r="E5" s="639">
        <f>A2.7.6!E5/A2.7.6!E$29</f>
        <v>2.2665072556563521E-5</v>
      </c>
      <c r="F5" s="640">
        <f>A2.7.6!F5/A2.7.6!F$29</f>
        <v>2.7963360913997652E-5</v>
      </c>
      <c r="G5" s="639">
        <f>A2.7.6!G5/A2.7.6!G$29</f>
        <v>2.0354411004408765E-5</v>
      </c>
      <c r="H5" s="640">
        <f>A2.7.6!H5/A2.7.6!H$29</f>
        <v>1.8385088617357089E-5</v>
      </c>
      <c r="I5" s="639">
        <f>A2.7.6!I5/A2.7.6!I$29</f>
        <v>1.8144633465443547E-5</v>
      </c>
      <c r="J5" s="640">
        <f>A2.7.6!J5/A2.7.6!J$29</f>
        <v>2.1875129966841112E-5</v>
      </c>
      <c r="K5" s="639">
        <f>A2.7.6!K5/A2.7.6!K$29</f>
        <v>2.489667878305034E-5</v>
      </c>
      <c r="L5" s="640">
        <f>A2.7.6!L5/A2.7.6!L$29</f>
        <v>1.6712652387652332E-5</v>
      </c>
    </row>
    <row r="6" spans="1:12" ht="13.35" customHeight="1" x14ac:dyDescent="0.2">
      <c r="B6" s="145"/>
      <c r="C6" s="16" t="s">
        <v>20</v>
      </c>
      <c r="D6" s="338" t="s">
        <v>44</v>
      </c>
      <c r="E6" s="639">
        <f>A2.7.6!E6/A2.7.6!E$29</f>
        <v>2.4818254449437056E-3</v>
      </c>
      <c r="F6" s="640">
        <f>A2.7.6!F6/A2.7.6!F$29</f>
        <v>9.0668420471832643E-4</v>
      </c>
      <c r="G6" s="639">
        <f>A2.7.6!G6/A2.7.6!G$29</f>
        <v>2.0313702182399949E-3</v>
      </c>
      <c r="H6" s="640">
        <f>A2.7.6!H6/A2.7.6!H$29</f>
        <v>7.546129284579506E-4</v>
      </c>
      <c r="I6" s="639">
        <f>A2.7.6!I6/A2.7.6!I$29</f>
        <v>1.3712158718885193E-3</v>
      </c>
      <c r="J6" s="640">
        <f>A2.7.6!J6/A2.7.6!J$29</f>
        <v>4.8719978712720392E-4</v>
      </c>
      <c r="K6" s="639">
        <f>A2.7.6!K6/A2.7.6!K$29</f>
        <v>1.4135780953487471E-3</v>
      </c>
      <c r="L6" s="640">
        <f>A2.7.6!L6/A2.7.6!L$29</f>
        <v>5.0149505695566156E-4</v>
      </c>
    </row>
    <row r="7" spans="1:12" ht="13.35" customHeight="1" x14ac:dyDescent="0.2">
      <c r="B7" s="145"/>
      <c r="C7" s="16" t="s">
        <v>21</v>
      </c>
      <c r="D7" s="338" t="s">
        <v>45</v>
      </c>
      <c r="E7" s="639">
        <f>A2.7.6!E7/A2.7.6!E$29</f>
        <v>2.1229617961314499E-3</v>
      </c>
      <c r="F7" s="640">
        <f>A2.7.6!F7/A2.7.6!F$29</f>
        <v>9.0372023356076958E-4</v>
      </c>
      <c r="G7" s="639">
        <f>A2.7.6!G7/A2.7.6!G$29</f>
        <v>1.8237552259950255E-3</v>
      </c>
      <c r="H7" s="640">
        <f>A2.7.6!H7/A2.7.6!H$29</f>
        <v>7.8256087329251856E-4</v>
      </c>
      <c r="I7" s="639">
        <f>A2.7.6!I7/A2.7.6!I$29</f>
        <v>1.3815842338687728E-3</v>
      </c>
      <c r="J7" s="640">
        <f>A2.7.6!J7/A2.7.6!J$29</f>
        <v>5.5527699307430058E-4</v>
      </c>
      <c r="K7" s="639">
        <f>A2.7.6!K7/A2.7.6!K$29</f>
        <v>1.3886814165656968E-3</v>
      </c>
      <c r="L7" s="640">
        <f>A2.7.6!L7/A2.7.6!L$29</f>
        <v>4.5679337411979291E-4</v>
      </c>
    </row>
    <row r="8" spans="1:12" ht="13.35" customHeight="1" x14ac:dyDescent="0.2">
      <c r="B8" s="145"/>
      <c r="C8" s="16" t="s">
        <v>22</v>
      </c>
      <c r="D8" s="338" t="s">
        <v>46</v>
      </c>
      <c r="E8" s="639">
        <f>A2.7.6!E8/A2.7.6!E$29</f>
        <v>3.4639785890614584E-3</v>
      </c>
      <c r="F8" s="640">
        <f>A2.7.6!F8/A2.7.6!F$29</f>
        <v>1.7240230907805978E-3</v>
      </c>
      <c r="G8" s="639">
        <f>A2.7.6!G8/A2.7.6!G$29</f>
        <v>2.6969594580841614E-3</v>
      </c>
      <c r="H8" s="640">
        <f>A2.7.6!H8/A2.7.6!H$29</f>
        <v>1.2483200948752318E-3</v>
      </c>
      <c r="I8" s="639">
        <f>A2.7.6!I8/A2.7.6!I$29</f>
        <v>2.1929085588236058E-3</v>
      </c>
      <c r="J8" s="640">
        <f>A2.7.6!J8/A2.7.6!J$29</f>
        <v>9.7196463489043002E-4</v>
      </c>
      <c r="K8" s="639">
        <f>A2.7.6!K8/A2.7.6!K$29</f>
        <v>2.1355817800572069E-3</v>
      </c>
      <c r="L8" s="640">
        <f>A2.7.6!L8/A2.7.6!L$29</f>
        <v>8.3539852443484299E-4</v>
      </c>
    </row>
    <row r="9" spans="1:12" ht="13.35" customHeight="1" x14ac:dyDescent="0.2">
      <c r="B9" s="145"/>
      <c r="C9" s="16" t="s">
        <v>23</v>
      </c>
      <c r="D9" s="338" t="s">
        <v>47</v>
      </c>
      <c r="E9" s="639">
        <f>A2.7.6!E9/A2.7.6!E$29</f>
        <v>6.4331030939712795E-3</v>
      </c>
      <c r="F9" s="640">
        <f>A2.7.6!F9/A2.7.6!F$29</f>
        <v>3.533690333791752E-3</v>
      </c>
      <c r="G9" s="639">
        <f>A2.7.6!G9/A2.7.6!G$29</f>
        <v>4.2866389575284859E-3</v>
      </c>
      <c r="H9" s="640">
        <f>A2.7.6!H9/A2.7.6!H$29</f>
        <v>2.1867787934165828E-3</v>
      </c>
      <c r="I9" s="639">
        <f>A2.7.6!I9/A2.7.6!I$29</f>
        <v>3.3308362861564221E-3</v>
      </c>
      <c r="J9" s="640">
        <f>A2.7.6!J9/A2.7.6!J$29</f>
        <v>1.6905378963716442E-3</v>
      </c>
      <c r="K9" s="639">
        <f>A2.7.6!K9/A2.7.6!K$29</f>
        <v>2.6916076062119981E-3</v>
      </c>
      <c r="L9" s="640">
        <f>A2.7.6!L9/A2.7.6!L$29</f>
        <v>1.3456841562686926E-3</v>
      </c>
    </row>
    <row r="10" spans="1:12" s="50" customFormat="1" ht="13.35" customHeight="1" x14ac:dyDescent="0.2">
      <c r="B10" s="145"/>
      <c r="C10" s="16" t="s">
        <v>24</v>
      </c>
      <c r="D10" s="338" t="s">
        <v>48</v>
      </c>
      <c r="E10" s="639">
        <f>A2.7.6!E10/A2.7.6!E$29</f>
        <v>7.7193459615562598E-3</v>
      </c>
      <c r="F10" s="640">
        <f>A2.7.6!F10/A2.7.6!F$29</f>
        <v>4.1800023662426434E-3</v>
      </c>
      <c r="G10" s="639">
        <f>A2.7.6!G10/A2.7.6!G$29</f>
        <v>7.5983016279457917E-3</v>
      </c>
      <c r="H10" s="640">
        <f>A2.7.6!H10/A2.7.6!H$29</f>
        <v>4.1110740225838733E-3</v>
      </c>
      <c r="I10" s="639">
        <f>A2.7.6!I10/A2.7.6!I$29</f>
        <v>5.8114668899320616E-3</v>
      </c>
      <c r="J10" s="640">
        <f>A2.7.6!J10/A2.7.6!J$29</f>
        <v>3.3094360228727799E-3</v>
      </c>
      <c r="K10" s="639">
        <f>A2.7.6!K10/A2.7.6!K$29</f>
        <v>4.7469667546349318E-3</v>
      </c>
      <c r="L10" s="640">
        <f>A2.7.6!L10/A2.7.6!L$29</f>
        <v>2.4978042834027788E-3</v>
      </c>
    </row>
    <row r="11" spans="1:12" s="1" customFormat="1" ht="13.35" customHeight="1" x14ac:dyDescent="0.2">
      <c r="B11" s="631"/>
      <c r="C11" s="16" t="s">
        <v>25</v>
      </c>
      <c r="D11" s="338" t="s">
        <v>49</v>
      </c>
      <c r="E11" s="639">
        <f>A2.7.6!E11/A2.7.6!E$29</f>
        <v>9.4796665967826921E-3</v>
      </c>
      <c r="F11" s="640">
        <f>A2.7.6!F11/A2.7.6!F$29</f>
        <v>5.2432412177032088E-3</v>
      </c>
      <c r="G11" s="639">
        <f>A2.7.6!G11/A2.7.6!G$29</f>
        <v>8.6241639425679931E-3</v>
      </c>
      <c r="H11" s="640">
        <f>A2.7.6!H11/A2.7.6!H$29</f>
        <v>4.7185950332145031E-3</v>
      </c>
      <c r="I11" s="639">
        <f>A2.7.6!I11/A2.7.6!I$29</f>
        <v>7.0919595944933626E-3</v>
      </c>
      <c r="J11" s="640">
        <f>A2.7.6!J11/A2.7.6!J$29</f>
        <v>3.8064205719428169E-3</v>
      </c>
      <c r="K11" s="639">
        <f>A2.7.6!K11/A2.7.6!K$29</f>
        <v>5.8866813833701251E-3</v>
      </c>
      <c r="L11" s="640">
        <f>A2.7.6!L11/A2.7.6!L$29</f>
        <v>3.1507430364792425E-3</v>
      </c>
    </row>
    <row r="12" spans="1:12" s="1" customFormat="1" ht="13.35" customHeight="1" x14ac:dyDescent="0.2">
      <c r="B12" s="631"/>
      <c r="C12" s="16" t="s">
        <v>26</v>
      </c>
      <c r="D12" s="338" t="s">
        <v>50</v>
      </c>
      <c r="E12" s="639">
        <f>A2.7.6!E12/A2.7.6!E$29</f>
        <v>1.1853832947082721E-2</v>
      </c>
      <c r="F12" s="640">
        <f>A2.7.6!F12/A2.7.6!F$29</f>
        <v>6.8191628311243977E-3</v>
      </c>
      <c r="G12" s="639">
        <f>A2.7.6!G12/A2.7.6!G$29</f>
        <v>1.0018441096369995E-2</v>
      </c>
      <c r="H12" s="640">
        <f>A2.7.6!H12/A2.7.6!H$29</f>
        <v>5.5982483216066798E-3</v>
      </c>
      <c r="I12" s="639">
        <f>A2.7.6!I12/A2.7.6!I$29</f>
        <v>8.3983732040052977E-3</v>
      </c>
      <c r="J12" s="640">
        <f>A2.7.6!J12/A2.7.6!J$29</f>
        <v>4.810849171626966E-3</v>
      </c>
      <c r="K12" s="639">
        <f>A2.7.6!K12/A2.7.6!K$29</f>
        <v>7.2283357400122821E-3</v>
      </c>
      <c r="L12" s="640">
        <f>A2.7.6!L12/A2.7.6!L$29</f>
        <v>3.9776446698213831E-3</v>
      </c>
    </row>
    <row r="13" spans="1:12" s="1" customFormat="1" ht="13.35" customHeight="1" x14ac:dyDescent="0.2">
      <c r="B13" s="631"/>
      <c r="C13" s="16" t="s">
        <v>27</v>
      </c>
      <c r="D13" s="338" t="s">
        <v>51</v>
      </c>
      <c r="E13" s="639">
        <f>A2.7.6!E13/A2.7.6!E$29</f>
        <v>1.3750144017648536E-2</v>
      </c>
      <c r="F13" s="640">
        <f>A2.7.6!F13/A2.7.6!F$29</f>
        <v>8.2504687064547094E-3</v>
      </c>
      <c r="G13" s="639">
        <f>A2.7.6!G13/A2.7.6!G$29</f>
        <v>1.1461568836582576E-2</v>
      </c>
      <c r="H13" s="640">
        <f>A2.7.6!H13/A2.7.6!H$29</f>
        <v>6.758642546650883E-3</v>
      </c>
      <c r="I13" s="639">
        <f>A2.7.6!I13/A2.7.6!I$29</f>
        <v>9.6114715556949518E-3</v>
      </c>
      <c r="J13" s="640">
        <f>A2.7.6!J13/A2.7.6!J$29</f>
        <v>5.6603852715802839E-3</v>
      </c>
      <c r="K13" s="639">
        <f>A2.7.6!K13/A2.7.6!K$29</f>
        <v>8.4759359768073611E-3</v>
      </c>
      <c r="L13" s="640">
        <f>A2.7.6!L13/A2.7.6!L$29</f>
        <v>5.0127954304584402E-3</v>
      </c>
    </row>
    <row r="14" spans="1:12" s="1" customFormat="1" ht="13.35" customHeight="1" x14ac:dyDescent="0.2">
      <c r="B14" s="631"/>
      <c r="C14" s="16" t="s">
        <v>28</v>
      </c>
      <c r="D14" s="338" t="s">
        <v>52</v>
      </c>
      <c r="E14" s="639">
        <f>A2.7.6!E14/A2.7.6!E$29</f>
        <v>1.5291368951494856E-2</v>
      </c>
      <c r="F14" s="640">
        <f>A2.7.6!F14/A2.7.6!F$29</f>
        <v>9.5157776416856053E-3</v>
      </c>
      <c r="G14" s="639">
        <f>A2.7.6!G14/A2.7.6!G$29</f>
        <v>1.3543825082333592E-2</v>
      </c>
      <c r="H14" s="640">
        <f>A2.7.6!H14/A2.7.6!H$29</f>
        <v>8.3435835614578367E-3</v>
      </c>
      <c r="I14" s="639">
        <f>A2.7.6!I14/A2.7.6!I$29</f>
        <v>1.0964542794118029E-2</v>
      </c>
      <c r="J14" s="640">
        <f>A2.7.6!J14/A2.7.6!J$29</f>
        <v>6.8334683498526543E-3</v>
      </c>
      <c r="K14" s="639">
        <f>A2.7.6!K14/A2.7.6!K$29</f>
        <v>9.7982262499515891E-3</v>
      </c>
      <c r="L14" s="640">
        <f>A2.7.6!L14/A2.7.6!L$29</f>
        <v>5.9435164405742431E-3</v>
      </c>
    </row>
    <row r="15" spans="1:12" customFormat="1" ht="13.35" customHeight="1" x14ac:dyDescent="0.2">
      <c r="A15" s="1"/>
      <c r="B15" s="631"/>
      <c r="C15" s="16" t="s">
        <v>29</v>
      </c>
      <c r="D15" s="338" t="s">
        <v>53</v>
      </c>
      <c r="E15" s="639">
        <f>A2.7.6!E15/A2.7.6!E$29</f>
        <v>1.6600276891636401E-2</v>
      </c>
      <c r="F15" s="640">
        <f>A2.7.6!F15/A2.7.6!F$29</f>
        <v>1.0772122431185137E-2</v>
      </c>
      <c r="G15" s="639">
        <f>A2.7.6!G15/A2.7.6!G$29</f>
        <v>1.4891287090825453E-2</v>
      </c>
      <c r="H15" s="640">
        <f>A2.7.6!H15/A2.7.6!H$29</f>
        <v>9.6245595668723836E-3</v>
      </c>
      <c r="I15" s="639">
        <f>A2.7.6!I15/A2.7.6!I$29</f>
        <v>1.2374640023432498E-2</v>
      </c>
      <c r="J15" s="640">
        <f>A2.7.6!J15/A2.7.6!J$29</f>
        <v>7.9472985971085989E-3</v>
      </c>
      <c r="K15" s="639">
        <f>A2.7.6!K15/A2.7.6!K$29</f>
        <v>1.0879848628192999E-2</v>
      </c>
      <c r="L15" s="640">
        <f>A2.7.6!L15/A2.7.6!L$29</f>
        <v>6.7599576482532528E-3</v>
      </c>
    </row>
    <row r="16" spans="1:12" customFormat="1" ht="13.35" customHeight="1" x14ac:dyDescent="0.2">
      <c r="A16" s="1"/>
      <c r="B16" s="631"/>
      <c r="C16" s="16" t="s">
        <v>30</v>
      </c>
      <c r="D16" s="338" t="s">
        <v>54</v>
      </c>
      <c r="E16" s="639">
        <f>A2.7.6!E16/A2.7.6!E$29</f>
        <v>1.8600469544753129E-2</v>
      </c>
      <c r="F16" s="640">
        <f>A2.7.6!F16/A2.7.6!F$29</f>
        <v>1.2765164389843308E-2</v>
      </c>
      <c r="G16" s="639">
        <f>A2.7.6!G16/A2.7.6!G$29</f>
        <v>1.6006708813867052E-2</v>
      </c>
      <c r="H16" s="640">
        <f>A2.7.6!H16/A2.7.6!H$29</f>
        <v>1.0675607782739339E-2</v>
      </c>
      <c r="I16" s="639">
        <f>A2.7.6!I16/A2.7.6!I$29</f>
        <v>1.394026268245077E-2</v>
      </c>
      <c r="J16" s="640">
        <f>A2.7.6!J16/A2.7.6!J$29</f>
        <v>9.3953727447430163E-3</v>
      </c>
      <c r="K16" s="639">
        <f>A2.7.6!K16/A2.7.6!K$29</f>
        <v>1.2487067558521027E-2</v>
      </c>
      <c r="L16" s="640">
        <f>A2.7.6!L16/A2.7.6!L$29</f>
        <v>7.9097821565983495E-3</v>
      </c>
    </row>
    <row r="17" spans="1:12" customFormat="1" ht="13.35" customHeight="1" x14ac:dyDescent="0.2">
      <c r="A17" s="1"/>
      <c r="B17" s="631"/>
      <c r="C17" s="16" t="s">
        <v>31</v>
      </c>
      <c r="D17" s="338" t="s">
        <v>55</v>
      </c>
      <c r="E17" s="639">
        <f>A2.7.6!E17/A2.7.6!E$29</f>
        <v>1.9779053317694435E-2</v>
      </c>
      <c r="F17" s="640">
        <f>A2.7.6!F17/A2.7.6!F$29</f>
        <v>1.3854600562034837E-2</v>
      </c>
      <c r="G17" s="639">
        <f>A2.7.6!G17/A2.7.6!G$29</f>
        <v>1.7508864345992421E-2</v>
      </c>
      <c r="H17" s="640">
        <f>A2.7.6!H17/A2.7.6!H$29</f>
        <v>1.19196078975844E-2</v>
      </c>
      <c r="I17" s="639">
        <f>A2.7.6!I17/A2.7.6!I$29</f>
        <v>1.4697153107009272E-2</v>
      </c>
      <c r="J17" s="640">
        <f>A2.7.6!J17/A2.7.6!J$29</f>
        <v>1.0126071383806633E-2</v>
      </c>
      <c r="K17" s="639">
        <f>A2.7.6!K17/A2.7.6!K$29</f>
        <v>1.3073522658743991E-2</v>
      </c>
      <c r="L17" s="640">
        <f>A2.7.6!L17/A2.7.6!L$29</f>
        <v>8.7097112348612296E-3</v>
      </c>
    </row>
    <row r="18" spans="1:12" customFormat="1" ht="13.35" customHeight="1" x14ac:dyDescent="0.2">
      <c r="A18" s="1"/>
      <c r="B18" s="631"/>
      <c r="C18" s="16" t="s">
        <v>32</v>
      </c>
      <c r="D18" s="338" t="s">
        <v>56</v>
      </c>
      <c r="E18" s="639">
        <f>A2.7.6!E18/A2.7.6!E$29</f>
        <v>2.0289017450217113E-2</v>
      </c>
      <c r="F18" s="640">
        <f>A2.7.6!F18/A2.7.6!F$29</f>
        <v>1.47937222654134E-2</v>
      </c>
      <c r="G18" s="639">
        <f>A2.7.6!G18/A2.7.6!G$29</f>
        <v>1.8573400041522997E-2</v>
      </c>
      <c r="H18" s="640">
        <f>A2.7.6!H18/A2.7.6!H$29</f>
        <v>1.3208160879051562E-2</v>
      </c>
      <c r="I18" s="639">
        <f>A2.7.6!I18/A2.7.6!I$29</f>
        <v>1.6125394969789184E-2</v>
      </c>
      <c r="J18" s="640">
        <f>A2.7.6!J18/A2.7.6!J$29</f>
        <v>1.1399709014008283E-2</v>
      </c>
      <c r="K18" s="639">
        <f>A2.7.6!K18/A2.7.6!K$29</f>
        <v>1.3765097069384278E-2</v>
      </c>
      <c r="L18" s="640">
        <f>A2.7.6!L18/A2.7.6!L$29</f>
        <v>9.4221222042169209E-3</v>
      </c>
    </row>
    <row r="19" spans="1:12" customFormat="1" ht="13.35" customHeight="1" x14ac:dyDescent="0.2">
      <c r="A19" s="1"/>
      <c r="B19" s="631"/>
      <c r="C19" s="16" t="s">
        <v>33</v>
      </c>
      <c r="D19" s="338" t="s">
        <v>57</v>
      </c>
      <c r="E19" s="639">
        <f>A2.7.6!E19/A2.7.6!E$29</f>
        <v>2.0951970822496595E-2</v>
      </c>
      <c r="F19" s="640">
        <f>A2.7.6!F19/A2.7.6!F$29</f>
        <v>1.5645083814939207E-2</v>
      </c>
      <c r="G19" s="639">
        <f>A2.7.6!G19/A2.7.6!G$29</f>
        <v>1.9023232524720431E-2</v>
      </c>
      <c r="H19" s="640">
        <f>A2.7.6!H19/A2.7.6!H$29</f>
        <v>1.3695103225475862E-2</v>
      </c>
      <c r="I19" s="639">
        <f>A2.7.6!I19/A2.7.6!I$29</f>
        <v>1.6877101213357559E-2</v>
      </c>
      <c r="J19" s="640">
        <f>A2.7.6!J19/A2.7.6!J$29</f>
        <v>1.2397158859662295E-2</v>
      </c>
      <c r="K19" s="639">
        <f>A2.7.6!K19/A2.7.6!K$29</f>
        <v>1.4550725599871644E-2</v>
      </c>
      <c r="L19" s="640">
        <f>A2.7.6!L19/A2.7.6!L$29</f>
        <v>1.0582069089442281E-2</v>
      </c>
    </row>
    <row r="20" spans="1:12" customFormat="1" ht="13.35" customHeight="1" x14ac:dyDescent="0.2">
      <c r="A20" s="1"/>
      <c r="B20" s="631"/>
      <c r="C20" s="16" t="s">
        <v>34</v>
      </c>
      <c r="D20" s="338" t="s">
        <v>58</v>
      </c>
      <c r="E20" s="639">
        <f>A2.7.6!E20/A2.7.6!E$29</f>
        <v>0.11379188552627355</v>
      </c>
      <c r="F20" s="640">
        <f>A2.7.6!F20/A2.7.6!F$29</f>
        <v>9.3804336326930804E-2</v>
      </c>
      <c r="G20" s="639">
        <f>A2.7.6!G20/A2.7.6!G$29</f>
        <v>0.10344925848880711</v>
      </c>
      <c r="H20" s="640">
        <f>A2.7.6!H20/A2.7.6!H$29</f>
        <v>8.2709366530698603E-2</v>
      </c>
      <c r="I20" s="639">
        <f>A2.7.6!I20/A2.7.6!I$29</f>
        <v>9.2011436303264221E-2</v>
      </c>
      <c r="J20" s="640">
        <f>A2.7.6!J20/A2.7.6!J$29</f>
        <v>7.2252928750878256E-2</v>
      </c>
      <c r="K20" s="639">
        <f>A2.7.6!K20/A2.7.6!K$29</f>
        <v>8.2596115011590782E-2</v>
      </c>
      <c r="L20" s="640">
        <f>A2.7.6!L20/A2.7.6!L$29</f>
        <v>6.4061976349419805E-2</v>
      </c>
    </row>
    <row r="21" spans="1:12" customFormat="1" ht="13.35" customHeight="1" x14ac:dyDescent="0.2">
      <c r="A21" s="1"/>
      <c r="B21" s="631"/>
      <c r="C21" s="16" t="s">
        <v>35</v>
      </c>
      <c r="D21" s="338" t="s">
        <v>59</v>
      </c>
      <c r="E21" s="639">
        <f>A2.7.6!E21/A2.7.6!E$29</f>
        <v>0.21869528509828143</v>
      </c>
      <c r="F21" s="640">
        <f>A2.7.6!F21/A2.7.6!F$29</f>
        <v>0.2037499310082741</v>
      </c>
      <c r="G21" s="639">
        <f>A2.7.6!G21/A2.7.6!G$29</f>
        <v>0.20819712839969551</v>
      </c>
      <c r="H21" s="640">
        <f>A2.7.6!H21/A2.7.6!H$29</f>
        <v>0.19238101842856911</v>
      </c>
      <c r="I21" s="639">
        <f>A2.7.6!I21/A2.7.6!I$29</f>
        <v>0.19588427871193839</v>
      </c>
      <c r="J21" s="640">
        <f>A2.7.6!J21/A2.7.6!J$29</f>
        <v>0.17873569584597154</v>
      </c>
      <c r="K21" s="639">
        <f>A2.7.6!K21/A2.7.6!K$29</f>
        <v>0.1848993344287872</v>
      </c>
      <c r="L21" s="640">
        <f>A2.7.6!L21/A2.7.6!L$29</f>
        <v>0.16847568344240124</v>
      </c>
    </row>
    <row r="22" spans="1:12" customFormat="1" ht="13.35" customHeight="1" x14ac:dyDescent="0.2">
      <c r="A22" s="1"/>
      <c r="B22" s="631"/>
      <c r="C22" s="16" t="s">
        <v>36</v>
      </c>
      <c r="D22" s="338" t="s">
        <v>60</v>
      </c>
      <c r="E22" s="639">
        <f>A2.7.6!E22/A2.7.6!E$29</f>
        <v>0.16207037882780023</v>
      </c>
      <c r="F22" s="640">
        <f>A2.7.6!F22/A2.7.6!F$29</f>
        <v>0.1708047485752941</v>
      </c>
      <c r="G22" s="639">
        <f>A2.7.6!G22/A2.7.6!G$29</f>
        <v>0.17148591271214386</v>
      </c>
      <c r="H22" s="640">
        <f>A2.7.6!H22/A2.7.6!H$29</f>
        <v>0.17647395678123343</v>
      </c>
      <c r="I22" s="639">
        <f>A2.7.6!I22/A2.7.6!I$29</f>
        <v>0.17571781466034542</v>
      </c>
      <c r="J22" s="640">
        <f>A2.7.6!J22/A2.7.6!J$29</f>
        <v>0.1766262411110196</v>
      </c>
      <c r="K22" s="639">
        <f>A2.7.6!K22/A2.7.6!K$29</f>
        <v>0.17063353748609936</v>
      </c>
      <c r="L22" s="640">
        <f>A2.7.6!L22/A2.7.6!L$29</f>
        <v>0.17334285130860438</v>
      </c>
    </row>
    <row r="23" spans="1:12" customFormat="1" ht="13.35" customHeight="1" x14ac:dyDescent="0.2">
      <c r="A23" s="1"/>
      <c r="B23" s="631"/>
      <c r="C23" s="16" t="s">
        <v>37</v>
      </c>
      <c r="D23" s="338" t="s">
        <v>61</v>
      </c>
      <c r="E23" s="639">
        <f>A2.7.6!E23/A2.7.6!E$29</f>
        <v>0.11152726702666357</v>
      </c>
      <c r="F23" s="640">
        <f>A2.7.6!F23/A2.7.6!F$29</f>
        <v>0.12922407442204809</v>
      </c>
      <c r="G23" s="639">
        <f>A2.7.6!G23/A2.7.6!G$29</f>
        <v>0.1150960524655298</v>
      </c>
      <c r="H23" s="640">
        <f>A2.7.6!H23/A2.7.6!H$29</f>
        <v>0.13074417152095819</v>
      </c>
      <c r="I23" s="639">
        <f>A2.7.6!I23/A2.7.6!I$29</f>
        <v>0.1222663165616438</v>
      </c>
      <c r="J23" s="640">
        <f>A2.7.6!J23/A2.7.6!J$29</f>
        <v>0.13479013577350354</v>
      </c>
      <c r="K23" s="639">
        <f>A2.7.6!K23/A2.7.6!K$29</f>
        <v>0.13039497197740488</v>
      </c>
      <c r="L23" s="640">
        <f>A2.7.6!L23/A2.7.6!L$29</f>
        <v>0.13996733888656501</v>
      </c>
    </row>
    <row r="24" spans="1:12" customFormat="1" ht="13.35" customHeight="1" x14ac:dyDescent="0.2">
      <c r="A24" s="1"/>
      <c r="B24" s="631"/>
      <c r="C24" s="16" t="s">
        <v>38</v>
      </c>
      <c r="D24" s="338" t="s">
        <v>62</v>
      </c>
      <c r="E24" s="639">
        <f>A2.7.6!E24/A2.7.6!E$29</f>
        <v>0.1274135941327682</v>
      </c>
      <c r="F24" s="640">
        <f>A2.7.6!F24/A2.7.6!F$29</f>
        <v>0.15748977685382143</v>
      </c>
      <c r="G24" s="639">
        <f>A2.7.6!G24/A2.7.6!G$29</f>
        <v>0.14801320594185965</v>
      </c>
      <c r="H24" s="640">
        <f>A2.7.6!H24/A2.7.6!H$29</f>
        <v>0.17965570520991883</v>
      </c>
      <c r="I24" s="639">
        <f>A2.7.6!I24/A2.7.6!I$29</f>
        <v>0.16580306851672805</v>
      </c>
      <c r="J24" s="640">
        <f>A2.7.6!J24/A2.7.6!J$29</f>
        <v>0.19523928665698304</v>
      </c>
      <c r="K24" s="639">
        <f>A2.7.6!K24/A2.7.6!K$29</f>
        <v>0.17998085722031348</v>
      </c>
      <c r="L24" s="640">
        <f>A2.7.6!L24/A2.7.6!L$29</f>
        <v>0.2079225508118436</v>
      </c>
    </row>
    <row r="25" spans="1:12" customFormat="1" ht="13.35" customHeight="1" x14ac:dyDescent="0.2">
      <c r="A25" s="1"/>
      <c r="B25" s="631"/>
      <c r="C25" s="16" t="s">
        <v>39</v>
      </c>
      <c r="D25" s="338" t="s">
        <v>63</v>
      </c>
      <c r="E25" s="639">
        <f>A2.7.6!E25/A2.7.6!E$29</f>
        <v>4.4625639107827193E-2</v>
      </c>
      <c r="F25" s="640">
        <f>A2.7.6!F25/A2.7.6!F$29</f>
        <v>5.956875306814257E-2</v>
      </c>
      <c r="G25" s="639">
        <f>A2.7.6!G25/A2.7.6!G$29</f>
        <v>5.0678412518776944E-2</v>
      </c>
      <c r="H25" s="640">
        <f>A2.7.6!H25/A2.7.6!H$29</f>
        <v>6.6591725449191994E-2</v>
      </c>
      <c r="I25" s="639">
        <f>A2.7.6!I25/A2.7.6!I$29</f>
        <v>5.9410714146852298E-2</v>
      </c>
      <c r="J25" s="640">
        <f>A2.7.6!J25/A2.7.6!J$29</f>
        <v>7.4952753219135124E-2</v>
      </c>
      <c r="K25" s="639">
        <f>A2.7.6!K25/A2.7.6!K$29</f>
        <v>6.7276358667087144E-2</v>
      </c>
      <c r="L25" s="640">
        <f>A2.7.6!L25/A2.7.6!L$29</f>
        <v>8.0699707333541981E-2</v>
      </c>
    </row>
    <row r="26" spans="1:12" customFormat="1" ht="13.35" customHeight="1" x14ac:dyDescent="0.2">
      <c r="A26" s="1"/>
      <c r="B26" s="631"/>
      <c r="C26" s="16" t="s">
        <v>40</v>
      </c>
      <c r="D26" s="338" t="s">
        <v>64</v>
      </c>
      <c r="E26" s="639">
        <f>A2.7.6!E26/A2.7.6!E$29</f>
        <v>3.9779091092815362E-2</v>
      </c>
      <c r="F26" s="640">
        <f>A2.7.6!F26/A2.7.6!F$29</f>
        <v>5.7131370311887357E-2</v>
      </c>
      <c r="G26" s="639">
        <f>A2.7.6!G26/A2.7.6!G$29</f>
        <v>4.2512222823808149E-2</v>
      </c>
      <c r="H26" s="640">
        <f>A2.7.6!H26/A2.7.6!H$29</f>
        <v>5.9954442654186771E-2</v>
      </c>
      <c r="I26" s="639">
        <f>A2.7.6!I26/A2.7.6!I$29</f>
        <v>5.0478370300863946E-2</v>
      </c>
      <c r="J26" s="640">
        <f>A2.7.6!J26/A2.7.6!J$29</f>
        <v>6.7940754909755319E-2</v>
      </c>
      <c r="K26" s="639">
        <f>A2.7.6!K26/A2.7.6!K$29</f>
        <v>5.9790757246316675E-2</v>
      </c>
      <c r="L26" s="640">
        <f>A2.7.6!L26/A2.7.6!L$29</f>
        <v>7.6524206193277197E-2</v>
      </c>
    </row>
    <row r="27" spans="1:12" customFormat="1" ht="13.35" customHeight="1" x14ac:dyDescent="0.2">
      <c r="A27" s="1"/>
      <c r="B27" s="631"/>
      <c r="C27" s="16" t="s">
        <v>41</v>
      </c>
      <c r="D27" s="338" t="s">
        <v>65</v>
      </c>
      <c r="E27" s="639">
        <f>A2.7.6!E27/A2.7.6!E$29</f>
        <v>9.9537443644241459E-3</v>
      </c>
      <c r="F27" s="640">
        <f>A2.7.6!F27/A2.7.6!F$29</f>
        <v>1.5239125008709494E-2</v>
      </c>
      <c r="G27" s="639">
        <f>A2.7.6!G27/A2.7.6!G$29</f>
        <v>9.5950693474782921E-3</v>
      </c>
      <c r="H27" s="640">
        <f>A2.7.6!H27/A2.7.6!H$29</f>
        <v>1.4307851205904091E-2</v>
      </c>
      <c r="I27" s="639">
        <f>A2.7.6!I27/A2.7.6!I$29</f>
        <v>1.142852699273437E-2</v>
      </c>
      <c r="J27" s="640">
        <f>A2.7.6!J27/A2.7.6!J$29</f>
        <v>1.6579385084889438E-2</v>
      </c>
      <c r="K27" s="639">
        <f>A2.7.6!K27/A2.7.6!K$29</f>
        <v>1.3015430408250206E-2</v>
      </c>
      <c r="L27" s="640">
        <f>A2.7.6!L27/A2.7.6!L$29</f>
        <v>1.8349599170741058E-2</v>
      </c>
    </row>
    <row r="28" spans="1:12" customFormat="1" ht="13.35" customHeight="1" x14ac:dyDescent="0.2">
      <c r="A28" s="1"/>
      <c r="B28" s="632"/>
      <c r="C28" s="280" t="s">
        <v>42</v>
      </c>
      <c r="D28" s="434" t="s">
        <v>66</v>
      </c>
      <c r="E28" s="641">
        <f>A2.7.6!E28/A2.7.6!E$29</f>
        <v>1.5638900064028831E-3</v>
      </c>
      <c r="F28" s="642">
        <f>A2.7.6!F28/A2.7.6!F$29</f>
        <v>2.390742209977312E-3</v>
      </c>
      <c r="G28" s="641">
        <f>A2.7.6!G28/A2.7.6!G$29</f>
        <v>1.3291430385878923E-3</v>
      </c>
      <c r="H28" s="642">
        <f>A2.7.6!H28/A2.7.6!H$29</f>
        <v>2.0915495653372465E-3</v>
      </c>
      <c r="I28" s="641">
        <f>A2.7.6!I28/A2.7.6!I$29</f>
        <v>1.4645311297108005E-3</v>
      </c>
      <c r="J28" s="642">
        <f>A2.7.6!J28/A2.7.6!J$29</f>
        <v>2.1606473388247407E-3</v>
      </c>
      <c r="K28" s="641">
        <f>A2.7.6!K28/A2.7.6!K$29</f>
        <v>1.7012730501751066E-3</v>
      </c>
      <c r="L28" s="642">
        <f>A2.7.6!L28/A2.7.6!L$29</f>
        <v>2.4368643866659856E-3</v>
      </c>
    </row>
    <row r="29" spans="1:12" customFormat="1" ht="13.35" customHeight="1" x14ac:dyDescent="0.2">
      <c r="A29" s="1"/>
      <c r="B29" s="632"/>
      <c r="C29" s="635" t="s">
        <v>8</v>
      </c>
      <c r="D29" s="636"/>
      <c r="E29" s="643">
        <f>A2.7.6!E29/A2.7.6!E$29</f>
        <v>1</v>
      </c>
      <c r="F29" s="644">
        <f>A2.7.6!F29/A2.7.6!F$29</f>
        <v>1</v>
      </c>
      <c r="G29" s="643">
        <f>A2.7.6!G29/A2.7.6!G$29</f>
        <v>1</v>
      </c>
      <c r="H29" s="644">
        <f>A2.7.6!H29/A2.7.6!H$29</f>
        <v>1</v>
      </c>
      <c r="I29" s="643">
        <f>A2.7.6!I29/A2.7.6!I$29</f>
        <v>1</v>
      </c>
      <c r="J29" s="644">
        <f>A2.7.6!J29/A2.7.6!J$29</f>
        <v>1</v>
      </c>
      <c r="K29" s="643">
        <f>A2.7.6!K29/A2.7.6!K$29</f>
        <v>1</v>
      </c>
      <c r="L29" s="644">
        <f>A2.7.6!L29/A2.7.6!L$29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3">
    <mergeCell ref="C3:D3"/>
    <mergeCell ref="B1:L1"/>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526</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29">
        <v>1005</v>
      </c>
      <c r="F4" s="630">
        <v>34.876579999999997</v>
      </c>
      <c r="G4" s="629">
        <v>844</v>
      </c>
      <c r="H4" s="630">
        <v>28.290050999999998</v>
      </c>
      <c r="I4" s="629">
        <v>530</v>
      </c>
      <c r="J4" s="630">
        <v>23.460277999999999</v>
      </c>
      <c r="K4" s="629">
        <v>344</v>
      </c>
      <c r="L4" s="630">
        <v>14.228141000000001</v>
      </c>
    </row>
    <row r="5" spans="1:12" ht="13.35" customHeight="1" x14ac:dyDescent="0.2">
      <c r="B5" s="145"/>
      <c r="C5" s="16" t="s">
        <v>19</v>
      </c>
      <c r="D5" s="339" t="s">
        <v>129</v>
      </c>
      <c r="E5" s="629">
        <v>20</v>
      </c>
      <c r="F5" s="630">
        <v>1.0386420000000001</v>
      </c>
      <c r="G5" s="629">
        <v>17</v>
      </c>
      <c r="H5" s="630">
        <v>0.421296</v>
      </c>
      <c r="I5" s="629">
        <v>12</v>
      </c>
      <c r="J5" s="630">
        <v>0.28160400000000002</v>
      </c>
      <c r="K5" s="629">
        <v>4</v>
      </c>
      <c r="L5" s="630">
        <v>9.6063999999999997E-2</v>
      </c>
    </row>
    <row r="6" spans="1:12" ht="13.35" customHeight="1" x14ac:dyDescent="0.2">
      <c r="B6" s="145"/>
      <c r="C6" s="16" t="s">
        <v>20</v>
      </c>
      <c r="D6" s="338" t="s">
        <v>44</v>
      </c>
      <c r="E6" s="629">
        <v>1012</v>
      </c>
      <c r="F6" s="630">
        <v>20.709454000000001</v>
      </c>
      <c r="G6" s="629">
        <v>936</v>
      </c>
      <c r="H6" s="630">
        <v>20.931801</v>
      </c>
      <c r="I6" s="629">
        <v>638</v>
      </c>
      <c r="J6" s="630">
        <v>13.856744000000001</v>
      </c>
      <c r="K6" s="629">
        <v>466</v>
      </c>
      <c r="L6" s="630">
        <v>10.605477</v>
      </c>
    </row>
    <row r="7" spans="1:12" ht="13.35" customHeight="1" x14ac:dyDescent="0.2">
      <c r="B7" s="145"/>
      <c r="C7" s="16" t="s">
        <v>21</v>
      </c>
      <c r="D7" s="338" t="s">
        <v>45</v>
      </c>
      <c r="E7" s="629">
        <v>808</v>
      </c>
      <c r="F7" s="630">
        <v>17.627359999999999</v>
      </c>
      <c r="G7" s="629">
        <v>696</v>
      </c>
      <c r="H7" s="630">
        <v>15.441008999999999</v>
      </c>
      <c r="I7" s="629">
        <v>568</v>
      </c>
      <c r="J7" s="630">
        <v>12.839601999999999</v>
      </c>
      <c r="K7" s="629">
        <v>363</v>
      </c>
      <c r="L7" s="630">
        <v>9.8707100000000008</v>
      </c>
    </row>
    <row r="8" spans="1:12" ht="13.35" customHeight="1" x14ac:dyDescent="0.2">
      <c r="B8" s="145"/>
      <c r="C8" s="16" t="s">
        <v>22</v>
      </c>
      <c r="D8" s="338" t="s">
        <v>46</v>
      </c>
      <c r="E8" s="629">
        <v>1096</v>
      </c>
      <c r="F8" s="630">
        <v>22.947648999999998</v>
      </c>
      <c r="G8" s="629">
        <v>929</v>
      </c>
      <c r="H8" s="630">
        <v>21.193138999999999</v>
      </c>
      <c r="I8" s="629">
        <v>738</v>
      </c>
      <c r="J8" s="630">
        <v>17.119097</v>
      </c>
      <c r="K8" s="629">
        <v>488</v>
      </c>
      <c r="L8" s="630">
        <v>10.731021</v>
      </c>
    </row>
    <row r="9" spans="1:12" ht="13.35" customHeight="1" x14ac:dyDescent="0.2">
      <c r="B9" s="145"/>
      <c r="C9" s="16" t="s">
        <v>23</v>
      </c>
      <c r="D9" s="338" t="s">
        <v>47</v>
      </c>
      <c r="E9" s="629">
        <v>1716</v>
      </c>
      <c r="F9" s="630">
        <v>34.804935999999998</v>
      </c>
      <c r="G9" s="629">
        <v>1380</v>
      </c>
      <c r="H9" s="630">
        <v>29.022652999999998</v>
      </c>
      <c r="I9" s="629">
        <v>1046</v>
      </c>
      <c r="J9" s="630">
        <v>24.276759999999999</v>
      </c>
      <c r="K9" s="629">
        <v>693</v>
      </c>
      <c r="L9" s="630">
        <v>16.635532999999999</v>
      </c>
    </row>
    <row r="10" spans="1:12" s="50" customFormat="1" ht="13.35" customHeight="1" x14ac:dyDescent="0.2">
      <c r="B10" s="145"/>
      <c r="C10" s="16" t="s">
        <v>24</v>
      </c>
      <c r="D10" s="338" t="s">
        <v>48</v>
      </c>
      <c r="E10" s="629">
        <v>1845</v>
      </c>
      <c r="F10" s="630">
        <v>37.668256</v>
      </c>
      <c r="G10" s="629">
        <v>1978</v>
      </c>
      <c r="H10" s="630">
        <v>40.640034</v>
      </c>
      <c r="I10" s="629">
        <v>2087</v>
      </c>
      <c r="J10" s="630">
        <v>45.410693999999999</v>
      </c>
      <c r="K10" s="629">
        <v>1538</v>
      </c>
      <c r="L10" s="630">
        <v>31.818104000000002</v>
      </c>
    </row>
    <row r="11" spans="1:12" s="1" customFormat="1" ht="13.35" customHeight="1" x14ac:dyDescent="0.2">
      <c r="B11" s="631"/>
      <c r="C11" s="16" t="s">
        <v>25</v>
      </c>
      <c r="D11" s="338" t="s">
        <v>49</v>
      </c>
      <c r="E11" s="629">
        <v>1662</v>
      </c>
      <c r="F11" s="630">
        <v>33.809305999999999</v>
      </c>
      <c r="G11" s="629">
        <v>1746</v>
      </c>
      <c r="H11" s="630">
        <v>36.338056999999999</v>
      </c>
      <c r="I11" s="629">
        <v>1751</v>
      </c>
      <c r="J11" s="630">
        <v>36.904387999999997</v>
      </c>
      <c r="K11" s="629">
        <v>1535</v>
      </c>
      <c r="L11" s="630">
        <v>32.482486999999999</v>
      </c>
    </row>
    <row r="12" spans="1:12" s="1" customFormat="1" ht="13.35" customHeight="1" x14ac:dyDescent="0.2">
      <c r="B12" s="631"/>
      <c r="C12" s="16" t="s">
        <v>26</v>
      </c>
      <c r="D12" s="338" t="s">
        <v>50</v>
      </c>
      <c r="E12" s="629">
        <v>1654</v>
      </c>
      <c r="F12" s="630">
        <v>35.327297999999999</v>
      </c>
      <c r="G12" s="629">
        <v>1671</v>
      </c>
      <c r="H12" s="630">
        <v>37.367291999999999</v>
      </c>
      <c r="I12" s="629">
        <v>1610</v>
      </c>
      <c r="J12" s="630">
        <v>36.791871</v>
      </c>
      <c r="K12" s="629">
        <v>1482</v>
      </c>
      <c r="L12" s="630">
        <v>31.542902999999999</v>
      </c>
    </row>
    <row r="13" spans="1:12" s="1" customFormat="1" ht="13.35" customHeight="1" x14ac:dyDescent="0.2">
      <c r="B13" s="631"/>
      <c r="C13" s="16" t="s">
        <v>27</v>
      </c>
      <c r="D13" s="338" t="s">
        <v>51</v>
      </c>
      <c r="E13" s="629">
        <v>1424</v>
      </c>
      <c r="F13" s="630">
        <v>32.997038000000003</v>
      </c>
      <c r="G13" s="629">
        <v>1445</v>
      </c>
      <c r="H13" s="630">
        <v>30.918506000000001</v>
      </c>
      <c r="I13" s="629">
        <v>1504</v>
      </c>
      <c r="J13" s="630">
        <v>33.849552000000003</v>
      </c>
      <c r="K13" s="629">
        <v>1315</v>
      </c>
      <c r="L13" s="630">
        <v>29.467327999999998</v>
      </c>
    </row>
    <row r="14" spans="1:12" s="1" customFormat="1" ht="13.35" customHeight="1" x14ac:dyDescent="0.2">
      <c r="B14" s="631"/>
      <c r="C14" s="16" t="s">
        <v>28</v>
      </c>
      <c r="D14" s="338" t="s">
        <v>52</v>
      </c>
      <c r="E14" s="629">
        <v>1415</v>
      </c>
      <c r="F14" s="630">
        <v>32.636943000000002</v>
      </c>
      <c r="G14" s="629">
        <v>1391</v>
      </c>
      <c r="H14" s="630">
        <v>30.575790000000001</v>
      </c>
      <c r="I14" s="629">
        <v>1385</v>
      </c>
      <c r="J14" s="630">
        <v>32.181797000000003</v>
      </c>
      <c r="K14" s="629">
        <v>1284</v>
      </c>
      <c r="L14" s="630">
        <v>31.065162999999998</v>
      </c>
    </row>
    <row r="15" spans="1:12" customFormat="1" ht="13.35" customHeight="1" x14ac:dyDescent="0.2">
      <c r="A15" s="1"/>
      <c r="B15" s="631"/>
      <c r="C15" s="16" t="s">
        <v>29</v>
      </c>
      <c r="D15" s="338" t="s">
        <v>53</v>
      </c>
      <c r="E15" s="629">
        <v>1373</v>
      </c>
      <c r="F15" s="630">
        <v>32.619283000000003</v>
      </c>
      <c r="G15" s="629">
        <v>1275</v>
      </c>
      <c r="H15" s="630">
        <v>29.115134999999999</v>
      </c>
      <c r="I15" s="629">
        <v>1336</v>
      </c>
      <c r="J15" s="630">
        <v>30.687546999999999</v>
      </c>
      <c r="K15" s="629">
        <v>1245</v>
      </c>
      <c r="L15" s="630">
        <v>28.472477999999999</v>
      </c>
    </row>
    <row r="16" spans="1:12" customFormat="1" ht="13.35" customHeight="1" x14ac:dyDescent="0.2">
      <c r="A16" s="1"/>
      <c r="B16" s="631"/>
      <c r="C16" s="16" t="s">
        <v>30</v>
      </c>
      <c r="D16" s="338" t="s">
        <v>54</v>
      </c>
      <c r="E16" s="629">
        <v>1201</v>
      </c>
      <c r="F16" s="630">
        <v>28.732026999999999</v>
      </c>
      <c r="G16" s="629">
        <v>1208</v>
      </c>
      <c r="H16" s="630">
        <v>29.309034</v>
      </c>
      <c r="I16" s="629">
        <v>1245</v>
      </c>
      <c r="J16" s="630">
        <v>30.399757999999999</v>
      </c>
      <c r="K16" s="629">
        <v>1155</v>
      </c>
      <c r="L16" s="630">
        <v>28.856057</v>
      </c>
    </row>
    <row r="17" spans="1:12" customFormat="1" ht="13.35" customHeight="1" x14ac:dyDescent="0.2">
      <c r="A17" s="1"/>
      <c r="B17" s="631"/>
      <c r="C17" s="16" t="s">
        <v>31</v>
      </c>
      <c r="D17" s="338" t="s">
        <v>55</v>
      </c>
      <c r="E17" s="629">
        <v>1222</v>
      </c>
      <c r="F17" s="630">
        <v>29.254660999999999</v>
      </c>
      <c r="G17" s="629">
        <v>1159</v>
      </c>
      <c r="H17" s="630">
        <v>27.813412</v>
      </c>
      <c r="I17" s="629">
        <v>1181</v>
      </c>
      <c r="J17" s="630">
        <v>29.812495999999999</v>
      </c>
      <c r="K17" s="629">
        <v>1082</v>
      </c>
      <c r="L17" s="630">
        <v>27.109743999999999</v>
      </c>
    </row>
    <row r="18" spans="1:12" customFormat="1" ht="13.35" customHeight="1" x14ac:dyDescent="0.2">
      <c r="A18" s="1"/>
      <c r="B18" s="631"/>
      <c r="C18" s="16" t="s">
        <v>32</v>
      </c>
      <c r="D18" s="338" t="s">
        <v>56</v>
      </c>
      <c r="E18" s="629">
        <v>1143</v>
      </c>
      <c r="F18" s="630">
        <v>28.338414</v>
      </c>
      <c r="G18" s="629">
        <v>1065</v>
      </c>
      <c r="H18" s="630">
        <v>26.322946999999999</v>
      </c>
      <c r="I18" s="629">
        <v>1070</v>
      </c>
      <c r="J18" s="630">
        <v>27.004244</v>
      </c>
      <c r="K18" s="629">
        <v>996</v>
      </c>
      <c r="L18" s="630">
        <v>25.976064000000001</v>
      </c>
    </row>
    <row r="19" spans="1:12" customFormat="1" ht="13.35" customHeight="1" x14ac:dyDescent="0.2">
      <c r="A19" s="1"/>
      <c r="B19" s="631"/>
      <c r="C19" s="16" t="s">
        <v>33</v>
      </c>
      <c r="D19" s="338" t="s">
        <v>57</v>
      </c>
      <c r="E19" s="629">
        <v>1059</v>
      </c>
      <c r="F19" s="630">
        <v>27.539622999999999</v>
      </c>
      <c r="G19" s="629">
        <v>1071</v>
      </c>
      <c r="H19" s="630">
        <v>26.617204999999998</v>
      </c>
      <c r="I19" s="629">
        <v>993</v>
      </c>
      <c r="J19" s="630">
        <v>26.050079</v>
      </c>
      <c r="K19" s="629">
        <v>979</v>
      </c>
      <c r="L19" s="630">
        <v>25.538125000000001</v>
      </c>
    </row>
    <row r="20" spans="1:12" customFormat="1" ht="13.35" customHeight="1" x14ac:dyDescent="0.2">
      <c r="A20" s="1"/>
      <c r="B20" s="631"/>
      <c r="C20" s="16" t="s">
        <v>34</v>
      </c>
      <c r="D20" s="338" t="s">
        <v>58</v>
      </c>
      <c r="E20" s="629">
        <v>4325</v>
      </c>
      <c r="F20" s="630">
        <v>115.490272</v>
      </c>
      <c r="G20" s="629">
        <v>4301</v>
      </c>
      <c r="H20" s="630">
        <v>112.89847</v>
      </c>
      <c r="I20" s="629">
        <v>4473</v>
      </c>
      <c r="J20" s="630">
        <v>117.68459900000001</v>
      </c>
      <c r="K20" s="629">
        <v>4202</v>
      </c>
      <c r="L20" s="630">
        <v>113.192386</v>
      </c>
    </row>
    <row r="21" spans="1:12" customFormat="1" ht="13.35" customHeight="1" x14ac:dyDescent="0.2">
      <c r="A21" s="1"/>
      <c r="B21" s="631"/>
      <c r="C21" s="16" t="s">
        <v>35</v>
      </c>
      <c r="D21" s="338" t="s">
        <v>59</v>
      </c>
      <c r="E21" s="629">
        <v>5351</v>
      </c>
      <c r="F21" s="630">
        <v>168.007203</v>
      </c>
      <c r="G21" s="629">
        <v>5222</v>
      </c>
      <c r="H21" s="630">
        <v>157.845597</v>
      </c>
      <c r="I21" s="629">
        <v>5751</v>
      </c>
      <c r="J21" s="630">
        <v>169.367175</v>
      </c>
      <c r="K21" s="629">
        <v>5502</v>
      </c>
      <c r="L21" s="630">
        <v>174.85647900000001</v>
      </c>
    </row>
    <row r="22" spans="1:12" customFormat="1" ht="13.35" customHeight="1" x14ac:dyDescent="0.2">
      <c r="A22" s="1"/>
      <c r="B22" s="631"/>
      <c r="C22" s="16" t="s">
        <v>36</v>
      </c>
      <c r="D22" s="338" t="s">
        <v>60</v>
      </c>
      <c r="E22" s="629">
        <v>2956</v>
      </c>
      <c r="F22" s="630">
        <v>113.305403</v>
      </c>
      <c r="G22" s="629">
        <v>2829</v>
      </c>
      <c r="H22" s="630">
        <v>107.186213</v>
      </c>
      <c r="I22" s="629">
        <v>3353</v>
      </c>
      <c r="J22" s="630">
        <v>125.141212</v>
      </c>
      <c r="K22" s="629">
        <v>3082</v>
      </c>
      <c r="L22" s="630">
        <v>116.71698000000001</v>
      </c>
    </row>
    <row r="23" spans="1:12" customFormat="1" ht="13.35" customHeight="1" x14ac:dyDescent="0.2">
      <c r="A23" s="1"/>
      <c r="B23" s="631"/>
      <c r="C23" s="16" t="s">
        <v>37</v>
      </c>
      <c r="D23" s="338" t="s">
        <v>61</v>
      </c>
      <c r="E23" s="629">
        <v>1780</v>
      </c>
      <c r="F23" s="630">
        <v>75.965807999999996</v>
      </c>
      <c r="G23" s="629">
        <v>1751</v>
      </c>
      <c r="H23" s="630">
        <v>76.278029000000004</v>
      </c>
      <c r="I23" s="629">
        <v>2046</v>
      </c>
      <c r="J23" s="630">
        <v>90.700809000000007</v>
      </c>
      <c r="K23" s="629">
        <v>2005</v>
      </c>
      <c r="L23" s="630">
        <v>88.112774000000002</v>
      </c>
    </row>
    <row r="24" spans="1:12" customFormat="1" ht="13.35" customHeight="1" x14ac:dyDescent="0.2">
      <c r="A24" s="1"/>
      <c r="B24" s="631"/>
      <c r="C24" s="16" t="s">
        <v>38</v>
      </c>
      <c r="D24" s="338" t="s">
        <v>62</v>
      </c>
      <c r="E24" s="629">
        <v>2031</v>
      </c>
      <c r="F24" s="630">
        <v>102.93765399999999</v>
      </c>
      <c r="G24" s="629">
        <v>2053</v>
      </c>
      <c r="H24" s="630">
        <v>101.081018</v>
      </c>
      <c r="I24" s="629">
        <v>2524</v>
      </c>
      <c r="J24" s="630">
        <v>126.653729</v>
      </c>
      <c r="K24" s="629">
        <v>2473</v>
      </c>
      <c r="L24" s="630">
        <v>127.247174</v>
      </c>
    </row>
    <row r="25" spans="1:12" customFormat="1" ht="13.35" customHeight="1" x14ac:dyDescent="0.2">
      <c r="A25" s="1"/>
      <c r="B25" s="631"/>
      <c r="C25" s="16" t="s">
        <v>39</v>
      </c>
      <c r="D25" s="338" t="s">
        <v>63</v>
      </c>
      <c r="E25" s="629">
        <v>731</v>
      </c>
      <c r="F25" s="630">
        <v>42.900691999999999</v>
      </c>
      <c r="G25" s="629">
        <v>692</v>
      </c>
      <c r="H25" s="630">
        <v>40.709586999999999</v>
      </c>
      <c r="I25" s="629">
        <v>910</v>
      </c>
      <c r="J25" s="630">
        <v>53.216372</v>
      </c>
      <c r="K25" s="629">
        <v>961</v>
      </c>
      <c r="L25" s="630">
        <v>58.103140000000003</v>
      </c>
    </row>
    <row r="26" spans="1:12" customFormat="1" ht="13.35" customHeight="1" x14ac:dyDescent="0.2">
      <c r="A26" s="1"/>
      <c r="B26" s="631"/>
      <c r="C26" s="16" t="s">
        <v>40</v>
      </c>
      <c r="D26" s="338" t="s">
        <v>64</v>
      </c>
      <c r="E26" s="629">
        <v>659</v>
      </c>
      <c r="F26" s="630">
        <v>48.002628999999999</v>
      </c>
      <c r="G26" s="629">
        <v>595</v>
      </c>
      <c r="H26" s="630">
        <v>43.116219999999998</v>
      </c>
      <c r="I26" s="629">
        <v>790</v>
      </c>
      <c r="J26" s="630">
        <v>58.792093999999999</v>
      </c>
      <c r="K26" s="629">
        <v>812</v>
      </c>
      <c r="L26" s="630">
        <v>62.365895000000002</v>
      </c>
    </row>
    <row r="27" spans="1:12" customFormat="1" ht="13.35" customHeight="1" x14ac:dyDescent="0.2">
      <c r="A27" s="1"/>
      <c r="B27" s="631"/>
      <c r="C27" s="16" t="s">
        <v>41</v>
      </c>
      <c r="D27" s="338" t="s">
        <v>65</v>
      </c>
      <c r="E27" s="629">
        <v>122</v>
      </c>
      <c r="F27" s="630">
        <v>9.6791409999999996</v>
      </c>
      <c r="G27" s="629">
        <v>100</v>
      </c>
      <c r="H27" s="630">
        <v>7.5557980000000002</v>
      </c>
      <c r="I27" s="629">
        <v>155</v>
      </c>
      <c r="J27" s="630">
        <v>12.729673999999999</v>
      </c>
      <c r="K27" s="629">
        <v>124</v>
      </c>
      <c r="L27" s="630">
        <v>12.904636999999999</v>
      </c>
    </row>
    <row r="28" spans="1:12" customFormat="1" ht="13.35" customHeight="1" x14ac:dyDescent="0.2">
      <c r="A28" s="1"/>
      <c r="B28" s="632"/>
      <c r="C28" s="280" t="s">
        <v>42</v>
      </c>
      <c r="D28" s="434" t="s">
        <v>66</v>
      </c>
      <c r="E28" s="633">
        <v>24</v>
      </c>
      <c r="F28" s="634">
        <v>2.3729</v>
      </c>
      <c r="G28" s="633">
        <v>21</v>
      </c>
      <c r="H28" s="634">
        <v>2.3988459999999998</v>
      </c>
      <c r="I28" s="633">
        <v>15</v>
      </c>
      <c r="J28" s="634">
        <v>1.869834</v>
      </c>
      <c r="K28" s="633">
        <v>13</v>
      </c>
      <c r="L28" s="634">
        <v>1.2204680000000001</v>
      </c>
    </row>
    <row r="29" spans="1:12" customFormat="1" ht="13.35" customHeight="1" x14ac:dyDescent="0.2">
      <c r="A29" s="1"/>
      <c r="B29" s="632"/>
      <c r="C29" s="635" t="s">
        <v>8</v>
      </c>
      <c r="D29" s="636"/>
      <c r="E29" s="637">
        <f t="shared" ref="E29:L29" si="0">SUM(E4:E28)</f>
        <v>37634</v>
      </c>
      <c r="F29" s="638">
        <f t="shared" si="0"/>
        <v>1129.5891720000002</v>
      </c>
      <c r="G29" s="637">
        <f t="shared" si="0"/>
        <v>36375</v>
      </c>
      <c r="H29" s="638">
        <f t="shared" si="0"/>
        <v>1079.3871390000002</v>
      </c>
      <c r="I29" s="637">
        <f t="shared" si="0"/>
        <v>37711</v>
      </c>
      <c r="J29" s="638">
        <f t="shared" si="0"/>
        <v>1177.0820090000002</v>
      </c>
      <c r="K29" s="637">
        <f t="shared" si="0"/>
        <v>34143</v>
      </c>
      <c r="L29" s="638">
        <f t="shared" si="0"/>
        <v>1109.215332</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A2.7.1!E12-E29</f>
        <v>0</v>
      </c>
      <c r="F34" s="84">
        <f>A2.7.1!F12-F29</f>
        <v>0</v>
      </c>
      <c r="G34" s="84">
        <f>A2.7.1!G12-G29</f>
        <v>0</v>
      </c>
      <c r="H34" s="84">
        <f>A2.7.1!H12-H29</f>
        <v>0</v>
      </c>
      <c r="I34" s="84">
        <f>A2.7.1!I12-I29</f>
        <v>0</v>
      </c>
      <c r="J34" s="84">
        <f>A2.7.1!J12-J29</f>
        <v>0</v>
      </c>
      <c r="K34" s="84">
        <f>A2.7.1!K12-K29</f>
        <v>0</v>
      </c>
      <c r="L34" s="107">
        <f>A2.7.1!L12-L29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24.95" customHeight="1" x14ac:dyDescent="0.2">
      <c r="A1" s="69"/>
      <c r="B1" s="1044" t="s">
        <v>527</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A2.7.7!E4/A2.7.7!E$29</f>
        <v>2.6704575649678482E-2</v>
      </c>
      <c r="F4" s="640">
        <f>A2.7.7!F4/A2.7.7!F$29</f>
        <v>3.0875455311110217E-2</v>
      </c>
      <c r="G4" s="639">
        <f>A2.7.7!G4/A2.7.7!G$29</f>
        <v>2.3202749140893472E-2</v>
      </c>
      <c r="H4" s="640">
        <f>A2.7.7!H4/A2.7.7!H$29</f>
        <v>2.6209364534590766E-2</v>
      </c>
      <c r="I4" s="639">
        <f>A2.7.7!I4/A2.7.7!I$29</f>
        <v>1.4054254726737556E-2</v>
      </c>
      <c r="J4" s="640">
        <f>A2.7.7!J4/A2.7.7!J$29</f>
        <v>1.9930878070195699E-2</v>
      </c>
      <c r="K4" s="639">
        <f>A2.7.7!K4/A2.7.7!K$29</f>
        <v>1.0075271651583048E-2</v>
      </c>
      <c r="L4" s="640">
        <f>A2.7.7!L4/A2.7.7!L$29</f>
        <v>1.282721270571114E-2</v>
      </c>
    </row>
    <row r="5" spans="1:12" ht="13.35" customHeight="1" x14ac:dyDescent="0.2">
      <c r="B5" s="145"/>
      <c r="C5" s="16" t="s">
        <v>19</v>
      </c>
      <c r="D5" s="339" t="s">
        <v>129</v>
      </c>
      <c r="E5" s="639">
        <f>A2.7.7!E5/A2.7.7!E$29</f>
        <v>5.3143434128713398E-4</v>
      </c>
      <c r="F5" s="640">
        <f>A2.7.7!F5/A2.7.7!F$29</f>
        <v>9.1948650513445245E-4</v>
      </c>
      <c r="G5" s="639">
        <f>A2.7.7!G5/A2.7.7!G$29</f>
        <v>4.6735395189003435E-4</v>
      </c>
      <c r="H5" s="640">
        <f>A2.7.7!H5/A2.7.7!H$29</f>
        <v>3.9031037593268927E-4</v>
      </c>
      <c r="I5" s="639">
        <f>A2.7.7!I5/A2.7.7!I$29</f>
        <v>3.1820954098273714E-4</v>
      </c>
      <c r="J5" s="640">
        <f>A2.7.7!J5/A2.7.7!J$29</f>
        <v>2.3923906562741456E-4</v>
      </c>
      <c r="K5" s="639">
        <f>A2.7.7!K5/A2.7.7!K$29</f>
        <v>1.1715432153003544E-4</v>
      </c>
      <c r="L5" s="640">
        <f>A2.7.7!L5/A2.7.7!L$29</f>
        <v>8.6605366179702244E-5</v>
      </c>
    </row>
    <row r="6" spans="1:12" ht="13.35" customHeight="1" x14ac:dyDescent="0.2">
      <c r="B6" s="145"/>
      <c r="C6" s="16" t="s">
        <v>20</v>
      </c>
      <c r="D6" s="338" t="s">
        <v>44</v>
      </c>
      <c r="E6" s="639">
        <f>A2.7.7!E6/A2.7.7!E$29</f>
        <v>2.689057766912898E-2</v>
      </c>
      <c r="F6" s="640">
        <f>A2.7.7!F6/A2.7.7!F$29</f>
        <v>1.8333615896240194E-2</v>
      </c>
      <c r="G6" s="639">
        <f>A2.7.7!G6/A2.7.7!G$29</f>
        <v>2.5731958762886597E-2</v>
      </c>
      <c r="H6" s="640">
        <f>A2.7.7!H6/A2.7.7!H$29</f>
        <v>1.9392301653132812E-2</v>
      </c>
      <c r="I6" s="639">
        <f>A2.7.7!I6/A2.7.7!I$29</f>
        <v>1.6918140595582189E-2</v>
      </c>
      <c r="J6" s="640">
        <f>A2.7.7!J6/A2.7.7!J$29</f>
        <v>1.1772114342119725E-2</v>
      </c>
      <c r="K6" s="639">
        <f>A2.7.7!K6/A2.7.7!K$29</f>
        <v>1.3648478458249128E-2</v>
      </c>
      <c r="L6" s="640">
        <f>A2.7.7!L6/A2.7.7!L$29</f>
        <v>9.5612427037746715E-3</v>
      </c>
    </row>
    <row r="7" spans="1:12" ht="13.35" customHeight="1" x14ac:dyDescent="0.2">
      <c r="B7" s="145"/>
      <c r="C7" s="16" t="s">
        <v>21</v>
      </c>
      <c r="D7" s="338" t="s">
        <v>45</v>
      </c>
      <c r="E7" s="639">
        <f>A2.7.7!E7/A2.7.7!E$29</f>
        <v>2.1469947388000211E-2</v>
      </c>
      <c r="F7" s="640">
        <f>A2.7.7!F7/A2.7.7!F$29</f>
        <v>1.5605107092864374E-2</v>
      </c>
      <c r="G7" s="639">
        <f>A2.7.7!G7/A2.7.7!G$29</f>
        <v>1.91340206185567E-2</v>
      </c>
      <c r="H7" s="640">
        <f>A2.7.7!H7/A2.7.7!H$29</f>
        <v>1.4305348324147484E-2</v>
      </c>
      <c r="I7" s="639">
        <f>A2.7.7!I7/A2.7.7!I$29</f>
        <v>1.5061918273182892E-2</v>
      </c>
      <c r="J7" s="640">
        <f>A2.7.7!J7/A2.7.7!J$29</f>
        <v>1.0907992732730652E-2</v>
      </c>
      <c r="K7" s="639">
        <f>A2.7.7!K7/A2.7.7!K$29</f>
        <v>1.0631754678850715E-2</v>
      </c>
      <c r="L7" s="640">
        <f>A2.7.7!L7/A2.7.7!L$29</f>
        <v>8.8988221810839523E-3</v>
      </c>
    </row>
    <row r="8" spans="1:12" ht="13.35" customHeight="1" x14ac:dyDescent="0.2">
      <c r="B8" s="145"/>
      <c r="C8" s="16" t="s">
        <v>22</v>
      </c>
      <c r="D8" s="338" t="s">
        <v>46</v>
      </c>
      <c r="E8" s="639">
        <f>A2.7.7!E8/A2.7.7!E$29</f>
        <v>2.9122601902534941E-2</v>
      </c>
      <c r="F8" s="640">
        <f>A2.7.7!F8/A2.7.7!F$29</f>
        <v>2.0315039811659948E-2</v>
      </c>
      <c r="G8" s="639">
        <f>A2.7.7!G8/A2.7.7!G$29</f>
        <v>2.5539518900343644E-2</v>
      </c>
      <c r="H8" s="640">
        <f>A2.7.7!H8/A2.7.7!H$29</f>
        <v>1.963441867542948E-2</v>
      </c>
      <c r="I8" s="639">
        <f>A2.7.7!I8/A2.7.7!I$29</f>
        <v>1.9569886770438333E-2</v>
      </c>
      <c r="J8" s="640">
        <f>A2.7.7!J8/A2.7.7!J$29</f>
        <v>1.4543673991367578E-2</v>
      </c>
      <c r="K8" s="639">
        <f>A2.7.7!K8/A2.7.7!K$29</f>
        <v>1.4292827226664324E-2</v>
      </c>
      <c r="L8" s="640">
        <f>A2.7.7!L8/A2.7.7!L$29</f>
        <v>9.6744254162545243E-3</v>
      </c>
    </row>
    <row r="9" spans="1:12" ht="13.35" customHeight="1" x14ac:dyDescent="0.2">
      <c r="B9" s="145"/>
      <c r="C9" s="16" t="s">
        <v>23</v>
      </c>
      <c r="D9" s="338" t="s">
        <v>47</v>
      </c>
      <c r="E9" s="639">
        <f>A2.7.7!E9/A2.7.7!E$29</f>
        <v>4.5597066482436097E-2</v>
      </c>
      <c r="F9" s="640">
        <f>A2.7.7!F9/A2.7.7!F$29</f>
        <v>3.0812030482176039E-2</v>
      </c>
      <c r="G9" s="639">
        <f>A2.7.7!G9/A2.7.7!G$29</f>
        <v>3.7938144329896908E-2</v>
      </c>
      <c r="H9" s="640">
        <f>A2.7.7!H9/A2.7.7!H$29</f>
        <v>2.6888084869056417E-2</v>
      </c>
      <c r="I9" s="639">
        <f>A2.7.7!I9/A2.7.7!I$29</f>
        <v>2.7737264988995255E-2</v>
      </c>
      <c r="J9" s="640">
        <f>A2.7.7!J9/A2.7.7!J$29</f>
        <v>2.0624527275397337E-2</v>
      </c>
      <c r="K9" s="639">
        <f>A2.7.7!K9/A2.7.7!K$29</f>
        <v>2.0296986205078641E-2</v>
      </c>
      <c r="L9" s="640">
        <f>A2.7.7!L9/A2.7.7!L$29</f>
        <v>1.4997568569490347E-2</v>
      </c>
    </row>
    <row r="10" spans="1:12" s="50" customFormat="1" ht="13.35" customHeight="1" x14ac:dyDescent="0.2">
      <c r="B10" s="145"/>
      <c r="C10" s="16" t="s">
        <v>24</v>
      </c>
      <c r="D10" s="338" t="s">
        <v>48</v>
      </c>
      <c r="E10" s="639">
        <f>A2.7.7!E10/A2.7.7!E$29</f>
        <v>4.902481798373811E-2</v>
      </c>
      <c r="F10" s="640">
        <f>A2.7.7!F10/A2.7.7!F$29</f>
        <v>3.3346863562180105E-2</v>
      </c>
      <c r="G10" s="639">
        <f>A2.7.7!G10/A2.7.7!G$29</f>
        <v>5.4378006872852234E-2</v>
      </c>
      <c r="H10" s="640">
        <f>A2.7.7!H10/A2.7.7!H$29</f>
        <v>3.765102670914814E-2</v>
      </c>
      <c r="I10" s="639">
        <f>A2.7.7!I10/A2.7.7!I$29</f>
        <v>5.5341942669247697E-2</v>
      </c>
      <c r="J10" s="640">
        <f>A2.7.7!J10/A2.7.7!J$29</f>
        <v>3.8579040077741933E-2</v>
      </c>
      <c r="K10" s="639">
        <f>A2.7.7!K10/A2.7.7!K$29</f>
        <v>4.5045836628298627E-2</v>
      </c>
      <c r="L10" s="640">
        <f>A2.7.7!L10/A2.7.7!L$29</f>
        <v>2.8685236384741932E-2</v>
      </c>
    </row>
    <row r="11" spans="1:12" s="1" customFormat="1" ht="13.35" customHeight="1" x14ac:dyDescent="0.2">
      <c r="B11" s="631"/>
      <c r="C11" s="16" t="s">
        <v>25</v>
      </c>
      <c r="D11" s="338" t="s">
        <v>49</v>
      </c>
      <c r="E11" s="639">
        <f>A2.7.7!E11/A2.7.7!E$29</f>
        <v>4.4162193760960831E-2</v>
      </c>
      <c r="F11" s="640">
        <f>A2.7.7!F11/A2.7.7!F$29</f>
        <v>2.9930621537508854E-2</v>
      </c>
      <c r="G11" s="639">
        <f>A2.7.7!G11/A2.7.7!G$29</f>
        <v>4.8000000000000001E-2</v>
      </c>
      <c r="H11" s="640">
        <f>A2.7.7!H11/A2.7.7!H$29</f>
        <v>3.3665453002956335E-2</v>
      </c>
      <c r="I11" s="639">
        <f>A2.7.7!I11/A2.7.7!I$29</f>
        <v>4.6432075521731057E-2</v>
      </c>
      <c r="J11" s="640">
        <f>A2.7.7!J11/A2.7.7!J$29</f>
        <v>3.1352435699320925E-2</v>
      </c>
      <c r="K11" s="639">
        <f>A2.7.7!K11/A2.7.7!K$29</f>
        <v>4.4957970887151102E-2</v>
      </c>
      <c r="L11" s="640">
        <f>A2.7.7!L11/A2.7.7!L$29</f>
        <v>2.9284203042371938E-2</v>
      </c>
    </row>
    <row r="12" spans="1:12" s="1" customFormat="1" ht="13.35" customHeight="1" x14ac:dyDescent="0.2">
      <c r="B12" s="631"/>
      <c r="C12" s="16" t="s">
        <v>26</v>
      </c>
      <c r="D12" s="338" t="s">
        <v>50</v>
      </c>
      <c r="E12" s="639">
        <f>A2.7.7!E12/A2.7.7!E$29</f>
        <v>4.3949620024445982E-2</v>
      </c>
      <c r="F12" s="640">
        <f>A2.7.7!F12/A2.7.7!F$29</f>
        <v>3.1274465863948629E-2</v>
      </c>
      <c r="G12" s="639">
        <f>A2.7.7!G12/A2.7.7!G$29</f>
        <v>4.5938144329896909E-2</v>
      </c>
      <c r="H12" s="640">
        <f>A2.7.7!H12/A2.7.7!H$29</f>
        <v>3.4618989470838961E-2</v>
      </c>
      <c r="I12" s="639">
        <f>A2.7.7!I12/A2.7.7!I$29</f>
        <v>4.2693113415183899E-2</v>
      </c>
      <c r="J12" s="640">
        <f>A2.7.7!J12/A2.7.7!J$29</f>
        <v>3.1256845928056311E-2</v>
      </c>
      <c r="K12" s="639">
        <f>A2.7.7!K12/A2.7.7!K$29</f>
        <v>4.340567612687813E-2</v>
      </c>
      <c r="L12" s="640">
        <f>A2.7.7!L12/A2.7.7!L$29</f>
        <v>2.8437132169031359E-2</v>
      </c>
    </row>
    <row r="13" spans="1:12" s="1" customFormat="1" ht="13.35" customHeight="1" x14ac:dyDescent="0.2">
      <c r="B13" s="631"/>
      <c r="C13" s="16" t="s">
        <v>27</v>
      </c>
      <c r="D13" s="338" t="s">
        <v>51</v>
      </c>
      <c r="E13" s="639">
        <f>A2.7.7!E13/A2.7.7!E$29</f>
        <v>3.7838125099643939E-2</v>
      </c>
      <c r="F13" s="640">
        <f>A2.7.7!F13/A2.7.7!F$29</f>
        <v>2.9211538865565542E-2</v>
      </c>
      <c r="G13" s="639">
        <f>A2.7.7!G13/A2.7.7!G$29</f>
        <v>3.9725085910652921E-2</v>
      </c>
      <c r="H13" s="640">
        <f>A2.7.7!H13/A2.7.7!H$29</f>
        <v>2.864450101623825E-2</v>
      </c>
      <c r="I13" s="639">
        <f>A2.7.7!I13/A2.7.7!I$29</f>
        <v>3.9882262469836387E-2</v>
      </c>
      <c r="J13" s="640">
        <f>A2.7.7!J13/A2.7.7!J$29</f>
        <v>2.8757173876743872E-2</v>
      </c>
      <c r="K13" s="639">
        <f>A2.7.7!K13/A2.7.7!K$29</f>
        <v>3.8514483202999147E-2</v>
      </c>
      <c r="L13" s="640">
        <f>A2.7.7!L13/A2.7.7!L$29</f>
        <v>2.6565922008009172E-2</v>
      </c>
    </row>
    <row r="14" spans="1:12" s="1" customFormat="1" ht="13.35" customHeight="1" x14ac:dyDescent="0.2">
      <c r="B14" s="631"/>
      <c r="C14" s="16" t="s">
        <v>28</v>
      </c>
      <c r="D14" s="338" t="s">
        <v>52</v>
      </c>
      <c r="E14" s="639">
        <f>A2.7.7!E14/A2.7.7!E$29</f>
        <v>3.7598979646064727E-2</v>
      </c>
      <c r="F14" s="640">
        <f>A2.7.7!F14/A2.7.7!F$29</f>
        <v>2.8892754825379997E-2</v>
      </c>
      <c r="G14" s="639">
        <f>A2.7.7!G14/A2.7.7!G$29</f>
        <v>3.8240549828178691E-2</v>
      </c>
      <c r="H14" s="640">
        <f>A2.7.7!H14/A2.7.7!H$29</f>
        <v>2.8326991211259926E-2</v>
      </c>
      <c r="I14" s="639">
        <f>A2.7.7!I14/A2.7.7!I$29</f>
        <v>3.6726684521757577E-2</v>
      </c>
      <c r="J14" s="640">
        <f>A2.7.7!J14/A2.7.7!J$29</f>
        <v>2.734031847733389E-2</v>
      </c>
      <c r="K14" s="639">
        <f>A2.7.7!K14/A2.7.7!K$29</f>
        <v>3.7606537211141378E-2</v>
      </c>
      <c r="L14" s="640">
        <f>A2.7.7!L14/A2.7.7!L$29</f>
        <v>2.8006431306703213E-2</v>
      </c>
    </row>
    <row r="15" spans="1:12" customFormat="1" ht="13.35" customHeight="1" x14ac:dyDescent="0.2">
      <c r="A15" s="1"/>
      <c r="B15" s="631"/>
      <c r="C15" s="16" t="s">
        <v>29</v>
      </c>
      <c r="D15" s="338" t="s">
        <v>53</v>
      </c>
      <c r="E15" s="639">
        <f>A2.7.7!E15/A2.7.7!E$29</f>
        <v>3.6482967529361747E-2</v>
      </c>
      <c r="F15" s="640">
        <f>A2.7.7!F15/A2.7.7!F$29</f>
        <v>2.8877120822826015E-2</v>
      </c>
      <c r="G15" s="639">
        <f>A2.7.7!G15/A2.7.7!G$29</f>
        <v>3.5051546391752578E-2</v>
      </c>
      <c r="H15" s="640">
        <f>A2.7.7!H15/A2.7.7!H$29</f>
        <v>2.697376497090169E-2</v>
      </c>
      <c r="I15" s="639">
        <f>A2.7.7!I15/A2.7.7!I$29</f>
        <v>3.5427328896078067E-2</v>
      </c>
      <c r="J15" s="640">
        <f>A2.7.7!J15/A2.7.7!J$29</f>
        <v>2.6070865721642335E-2</v>
      </c>
      <c r="K15" s="639">
        <f>A2.7.7!K15/A2.7.7!K$29</f>
        <v>3.6464282576223528E-2</v>
      </c>
      <c r="L15" s="640">
        <f>A2.7.7!L15/A2.7.7!L$29</f>
        <v>2.566902672419966E-2</v>
      </c>
    </row>
    <row r="16" spans="1:12" customFormat="1" ht="13.35" customHeight="1" x14ac:dyDescent="0.2">
      <c r="A16" s="1"/>
      <c r="B16" s="631"/>
      <c r="C16" s="16" t="s">
        <v>30</v>
      </c>
      <c r="D16" s="338" t="s">
        <v>54</v>
      </c>
      <c r="E16" s="639">
        <f>A2.7.7!E16/A2.7.7!E$29</f>
        <v>3.1912632194292398E-2</v>
      </c>
      <c r="F16" s="640">
        <f>A2.7.7!F16/A2.7.7!F$29</f>
        <v>2.5435820130187997E-2</v>
      </c>
      <c r="G16" s="639">
        <f>A2.7.7!G16/A2.7.7!G$29</f>
        <v>3.3209621993127145E-2</v>
      </c>
      <c r="H16" s="640">
        <f>A2.7.7!H16/A2.7.7!H$29</f>
        <v>2.7153403020118805E-2</v>
      </c>
      <c r="I16" s="639">
        <f>A2.7.7!I16/A2.7.7!I$29</f>
        <v>3.3014239876958978E-2</v>
      </c>
      <c r="J16" s="640">
        <f>A2.7.7!J16/A2.7.7!J$29</f>
        <v>2.5826372136828736E-2</v>
      </c>
      <c r="K16" s="639">
        <f>A2.7.7!K16/A2.7.7!K$29</f>
        <v>3.3828310341797736E-2</v>
      </c>
      <c r="L16" s="640">
        <f>A2.7.7!L16/A2.7.7!L$29</f>
        <v>2.6014837847553301E-2</v>
      </c>
    </row>
    <row r="17" spans="1:12" customFormat="1" ht="13.35" customHeight="1" x14ac:dyDescent="0.2">
      <c r="A17" s="1"/>
      <c r="B17" s="631"/>
      <c r="C17" s="16" t="s">
        <v>31</v>
      </c>
      <c r="D17" s="338" t="s">
        <v>55</v>
      </c>
      <c r="E17" s="639">
        <f>A2.7.7!E17/A2.7.7!E$29</f>
        <v>3.2470638252643888E-2</v>
      </c>
      <c r="F17" s="640">
        <f>A2.7.7!F17/A2.7.7!F$29</f>
        <v>2.5898496307469911E-2</v>
      </c>
      <c r="G17" s="639">
        <f>A2.7.7!G17/A2.7.7!G$29</f>
        <v>3.1862542955326457E-2</v>
      </c>
      <c r="H17" s="640">
        <f>A2.7.7!H17/A2.7.7!H$29</f>
        <v>2.5767781544782698E-2</v>
      </c>
      <c r="I17" s="639">
        <f>A2.7.7!I17/A2.7.7!I$29</f>
        <v>3.1317122325051044E-2</v>
      </c>
      <c r="J17" s="640">
        <f>A2.7.7!J17/A2.7.7!J$29</f>
        <v>2.5327458725945062E-2</v>
      </c>
      <c r="K17" s="639">
        <f>A2.7.7!K17/A2.7.7!K$29</f>
        <v>3.1690243973874585E-2</v>
      </c>
      <c r="L17" s="640">
        <f>A2.7.7!L17/A2.7.7!L$29</f>
        <v>2.4440469959172904E-2</v>
      </c>
    </row>
    <row r="18" spans="1:12" customFormat="1" ht="13.35" customHeight="1" x14ac:dyDescent="0.2">
      <c r="A18" s="1"/>
      <c r="B18" s="631"/>
      <c r="C18" s="16" t="s">
        <v>32</v>
      </c>
      <c r="D18" s="338" t="s">
        <v>56</v>
      </c>
      <c r="E18" s="639">
        <f>A2.7.7!E18/A2.7.7!E$29</f>
        <v>3.0371472604559708E-2</v>
      </c>
      <c r="F18" s="640">
        <f>A2.7.7!F18/A2.7.7!F$29</f>
        <v>2.5087363355143773E-2</v>
      </c>
      <c r="G18" s="639">
        <f>A2.7.7!G18/A2.7.7!G$29</f>
        <v>2.9278350515463916E-2</v>
      </c>
      <c r="H18" s="640">
        <f>A2.7.7!H18/A2.7.7!H$29</f>
        <v>2.4386937780625156E-2</v>
      </c>
      <c r="I18" s="639">
        <f>A2.7.7!I18/A2.7.7!I$29</f>
        <v>2.8373684070960727E-2</v>
      </c>
      <c r="J18" s="640">
        <f>A2.7.7!J18/A2.7.7!J$29</f>
        <v>2.2941684431097269E-2</v>
      </c>
      <c r="K18" s="639">
        <f>A2.7.7!K18/A2.7.7!K$29</f>
        <v>2.9171426060978823E-2</v>
      </c>
      <c r="L18" s="640">
        <f>A2.7.7!L18/A2.7.7!L$29</f>
        <v>2.3418414126284363E-2</v>
      </c>
    </row>
    <row r="19" spans="1:12" customFormat="1" ht="13.35" customHeight="1" x14ac:dyDescent="0.2">
      <c r="A19" s="1"/>
      <c r="B19" s="631"/>
      <c r="C19" s="16" t="s">
        <v>33</v>
      </c>
      <c r="D19" s="338" t="s">
        <v>57</v>
      </c>
      <c r="E19" s="639">
        <f>A2.7.7!E19/A2.7.7!E$29</f>
        <v>2.8139448371153744E-2</v>
      </c>
      <c r="F19" s="640">
        <f>A2.7.7!F19/A2.7.7!F$29</f>
        <v>2.4380211569520954E-2</v>
      </c>
      <c r="G19" s="639">
        <f>A2.7.7!G19/A2.7.7!G$29</f>
        <v>2.9443298969072166E-2</v>
      </c>
      <c r="H19" s="640">
        <f>A2.7.7!H19/A2.7.7!H$29</f>
        <v>2.4659553591364399E-2</v>
      </c>
      <c r="I19" s="639">
        <f>A2.7.7!I19/A2.7.7!I$29</f>
        <v>2.6331839516321499E-2</v>
      </c>
      <c r="J19" s="640">
        <f>A2.7.7!J19/A2.7.7!J$29</f>
        <v>2.2131065465974677E-2</v>
      </c>
      <c r="K19" s="639">
        <f>A2.7.7!K19/A2.7.7!K$29</f>
        <v>2.8673520194476172E-2</v>
      </c>
      <c r="L19" s="640">
        <f>A2.7.7!L19/A2.7.7!L$29</f>
        <v>2.302359538607604E-2</v>
      </c>
    </row>
    <row r="20" spans="1:12" customFormat="1" ht="13.35" customHeight="1" x14ac:dyDescent="0.2">
      <c r="A20" s="1"/>
      <c r="B20" s="631"/>
      <c r="C20" s="16" t="s">
        <v>34</v>
      </c>
      <c r="D20" s="338" t="s">
        <v>58</v>
      </c>
      <c r="E20" s="639">
        <f>A2.7.7!E20/A2.7.7!E$29</f>
        <v>0.11492267630334273</v>
      </c>
      <c r="F20" s="640">
        <f>A2.7.7!F20/A2.7.7!F$29</f>
        <v>0.10224095172187078</v>
      </c>
      <c r="G20" s="639">
        <f>A2.7.7!G20/A2.7.7!G$29</f>
        <v>0.11824054982817869</v>
      </c>
      <c r="H20" s="640">
        <f>A2.7.7!H20/A2.7.7!H$29</f>
        <v>0.1045949742412115</v>
      </c>
      <c r="I20" s="639">
        <f>A2.7.7!I20/A2.7.7!I$29</f>
        <v>0.11861260640131527</v>
      </c>
      <c r="J20" s="640">
        <f>A2.7.7!J20/A2.7.7!J$29</f>
        <v>9.9979948805759028E-2</v>
      </c>
      <c r="K20" s="639">
        <f>A2.7.7!K20/A2.7.7!K$29</f>
        <v>0.12307061476730223</v>
      </c>
      <c r="L20" s="640">
        <f>A2.7.7!L20/A2.7.7!L$29</f>
        <v>0.10204726055842149</v>
      </c>
    </row>
    <row r="21" spans="1:12" customFormat="1" ht="13.35" customHeight="1" x14ac:dyDescent="0.2">
      <c r="A21" s="1"/>
      <c r="B21" s="631"/>
      <c r="C21" s="16" t="s">
        <v>35</v>
      </c>
      <c r="D21" s="338" t="s">
        <v>59</v>
      </c>
      <c r="E21" s="639">
        <f>A2.7.7!E21/A2.7.7!E$29</f>
        <v>0.14218525801137269</v>
      </c>
      <c r="F21" s="640">
        <f>A2.7.7!F21/A2.7.7!F$29</f>
        <v>0.14873301476724848</v>
      </c>
      <c r="G21" s="639">
        <f>A2.7.7!G21/A2.7.7!G$29</f>
        <v>0.14356013745704468</v>
      </c>
      <c r="H21" s="640">
        <f>A2.7.7!H21/A2.7.7!H$29</f>
        <v>0.14623631438321222</v>
      </c>
      <c r="I21" s="639">
        <f>A2.7.7!I21/A2.7.7!I$29</f>
        <v>0.15250192251597677</v>
      </c>
      <c r="J21" s="640">
        <f>A2.7.7!J21/A2.7.7!J$29</f>
        <v>0.14388731940936494</v>
      </c>
      <c r="K21" s="639">
        <f>A2.7.7!K21/A2.7.7!K$29</f>
        <v>0.16114576926456375</v>
      </c>
      <c r="L21" s="640">
        <f>A2.7.7!L21/A2.7.7!L$29</f>
        <v>0.15763979630963126</v>
      </c>
    </row>
    <row r="22" spans="1:12" customFormat="1" ht="13.35" customHeight="1" x14ac:dyDescent="0.2">
      <c r="A22" s="1"/>
      <c r="B22" s="631"/>
      <c r="C22" s="16" t="s">
        <v>36</v>
      </c>
      <c r="D22" s="338" t="s">
        <v>60</v>
      </c>
      <c r="E22" s="639">
        <f>A2.7.7!E22/A2.7.7!E$29</f>
        <v>7.8545995642238395E-2</v>
      </c>
      <c r="F22" s="640">
        <f>A2.7.7!F22/A2.7.7!F$29</f>
        <v>0.10030673612016527</v>
      </c>
      <c r="G22" s="639">
        <f>A2.7.7!G22/A2.7.7!G$29</f>
        <v>7.7773195876288656E-2</v>
      </c>
      <c r="H22" s="640">
        <f>A2.7.7!H22/A2.7.7!H$29</f>
        <v>9.9302844296720844E-2</v>
      </c>
      <c r="I22" s="639">
        <f>A2.7.7!I22/A2.7.7!I$29</f>
        <v>8.8913049242926465E-2</v>
      </c>
      <c r="J22" s="640">
        <f>A2.7.7!J22/A2.7.7!J$29</f>
        <v>0.10631477759677489</v>
      </c>
      <c r="K22" s="639">
        <f>A2.7.7!K22/A2.7.7!K$29</f>
        <v>9.0267404738892304E-2</v>
      </c>
      <c r="L22" s="640">
        <f>A2.7.7!L22/A2.7.7!L$29</f>
        <v>0.10522481670853789</v>
      </c>
    </row>
    <row r="23" spans="1:12" customFormat="1" ht="13.35" customHeight="1" x14ac:dyDescent="0.2">
      <c r="A23" s="1"/>
      <c r="B23" s="631"/>
      <c r="C23" s="16" t="s">
        <v>37</v>
      </c>
      <c r="D23" s="338" t="s">
        <v>61</v>
      </c>
      <c r="E23" s="639">
        <f>A2.7.7!E23/A2.7.7!E$29</f>
        <v>4.7297656374554922E-2</v>
      </c>
      <c r="F23" s="640">
        <f>A2.7.7!F23/A2.7.7!F$29</f>
        <v>6.7250828781846697E-2</v>
      </c>
      <c r="G23" s="639">
        <f>A2.7.7!G23/A2.7.7!G$29</f>
        <v>4.8137457044673537E-2</v>
      </c>
      <c r="H23" s="640">
        <f>A2.7.7!H23/A2.7.7!H$29</f>
        <v>7.0667906114452964E-2</v>
      </c>
      <c r="I23" s="639">
        <f>A2.7.7!I23/A2.7.7!I$29</f>
        <v>5.4254726737556679E-2</v>
      </c>
      <c r="J23" s="640">
        <f>A2.7.7!J23/A2.7.7!J$29</f>
        <v>7.7055641243769957E-2</v>
      </c>
      <c r="K23" s="639">
        <f>A2.7.7!K23/A2.7.7!K$29</f>
        <v>5.8723603666930267E-2</v>
      </c>
      <c r="L23" s="640">
        <f>A2.7.7!L23/A2.7.7!L$29</f>
        <v>7.9437032159595147E-2</v>
      </c>
    </row>
    <row r="24" spans="1:12" customFormat="1" ht="13.35" customHeight="1" x14ac:dyDescent="0.2">
      <c r="A24" s="1"/>
      <c r="B24" s="631"/>
      <c r="C24" s="16" t="s">
        <v>38</v>
      </c>
      <c r="D24" s="338" t="s">
        <v>62</v>
      </c>
      <c r="E24" s="639">
        <f>A2.7.7!E24/A2.7.7!E$29</f>
        <v>5.3967157357708455E-2</v>
      </c>
      <c r="F24" s="640">
        <f>A2.7.7!F24/A2.7.7!F$29</f>
        <v>9.1128400087036224E-2</v>
      </c>
      <c r="G24" s="639">
        <f>A2.7.7!G24/A2.7.7!G$29</f>
        <v>5.6439862542955327E-2</v>
      </c>
      <c r="H24" s="640">
        <f>A2.7.7!H24/A2.7.7!H$29</f>
        <v>9.3646676292295519E-2</v>
      </c>
      <c r="I24" s="639">
        <f>A2.7.7!I24/A2.7.7!I$29</f>
        <v>6.6930073453369043E-2</v>
      </c>
      <c r="J24" s="640">
        <f>A2.7.7!J24/A2.7.7!J$29</f>
        <v>0.10759974923718334</v>
      </c>
      <c r="K24" s="639">
        <f>A2.7.7!K24/A2.7.7!K$29</f>
        <v>7.2430659285944415E-2</v>
      </c>
      <c r="L24" s="640">
        <f>A2.7.7!L24/A2.7.7!L$29</f>
        <v>0.11471818891158277</v>
      </c>
    </row>
    <row r="25" spans="1:12" customFormat="1" ht="13.35" customHeight="1" x14ac:dyDescent="0.2">
      <c r="A25" s="1"/>
      <c r="B25" s="631"/>
      <c r="C25" s="16" t="s">
        <v>39</v>
      </c>
      <c r="D25" s="338" t="s">
        <v>63</v>
      </c>
      <c r="E25" s="639">
        <f>A2.7.7!E25/A2.7.7!E$29</f>
        <v>1.9423925174044746E-2</v>
      </c>
      <c r="F25" s="640">
        <f>A2.7.7!F25/A2.7.7!F$29</f>
        <v>3.7979021987296448E-2</v>
      </c>
      <c r="G25" s="639">
        <f>A2.7.7!G25/A2.7.7!G$29</f>
        <v>1.9024054982817871E-2</v>
      </c>
      <c r="H25" s="640">
        <f>A2.7.7!H25/A2.7.7!H$29</f>
        <v>3.7715464201023792E-2</v>
      </c>
      <c r="I25" s="639">
        <f>A2.7.7!I25/A2.7.7!I$29</f>
        <v>2.4130890191190899E-2</v>
      </c>
      <c r="J25" s="640">
        <f>A2.7.7!J25/A2.7.7!J$29</f>
        <v>4.5210419998866866E-2</v>
      </c>
      <c r="K25" s="639">
        <f>A2.7.7!K25/A2.7.7!K$29</f>
        <v>2.8146325747591013E-2</v>
      </c>
      <c r="L25" s="640">
        <f>A2.7.7!L25/A2.7.7!L$29</f>
        <v>5.238220057347711E-2</v>
      </c>
    </row>
    <row r="26" spans="1:12" customFormat="1" ht="13.35" customHeight="1" x14ac:dyDescent="0.2">
      <c r="A26" s="1"/>
      <c r="B26" s="631"/>
      <c r="C26" s="16" t="s">
        <v>40</v>
      </c>
      <c r="D26" s="338" t="s">
        <v>64</v>
      </c>
      <c r="E26" s="639">
        <f>A2.7.7!E26/A2.7.7!E$29</f>
        <v>1.7510761545411063E-2</v>
      </c>
      <c r="F26" s="640">
        <f>A2.7.7!F26/A2.7.7!F$29</f>
        <v>4.2495652569870764E-2</v>
      </c>
      <c r="G26" s="639">
        <f>A2.7.7!G26/A2.7.7!G$29</f>
        <v>1.6357388316151203E-2</v>
      </c>
      <c r="H26" s="640">
        <f>A2.7.7!H26/A2.7.7!H$29</f>
        <v>3.994509332392554E-2</v>
      </c>
      <c r="I26" s="639">
        <f>A2.7.7!I26/A2.7.7!I$29</f>
        <v>2.0948794781363529E-2</v>
      </c>
      <c r="J26" s="640">
        <f>A2.7.7!J26/A2.7.7!J$29</f>
        <v>4.9947321894714292E-2</v>
      </c>
      <c r="K26" s="639">
        <f>A2.7.7!K26/A2.7.7!K$29</f>
        <v>2.3782327270597193E-2</v>
      </c>
      <c r="L26" s="640">
        <f>A2.7.7!L26/A2.7.7!L$29</f>
        <v>5.6225237066953926E-2</v>
      </c>
    </row>
    <row r="27" spans="1:12" customFormat="1" ht="13.35" customHeight="1" x14ac:dyDescent="0.2">
      <c r="A27" s="1"/>
      <c r="B27" s="631"/>
      <c r="C27" s="16" t="s">
        <v>41</v>
      </c>
      <c r="D27" s="338" t="s">
        <v>65</v>
      </c>
      <c r="E27" s="639">
        <f>A2.7.7!E27/A2.7.7!E$29</f>
        <v>3.2417494818515174E-3</v>
      </c>
      <c r="F27" s="640">
        <f>A2.7.7!F27/A2.7.7!F$29</f>
        <v>8.5687267901679194E-3</v>
      </c>
      <c r="G27" s="639">
        <f>A2.7.7!G27/A2.7.7!G$29</f>
        <v>2.7491408934707906E-3</v>
      </c>
      <c r="H27" s="640">
        <f>A2.7.7!H27/A2.7.7!H$29</f>
        <v>7.0000815527597269E-3</v>
      </c>
      <c r="I27" s="639">
        <f>A2.7.7!I27/A2.7.7!I$29</f>
        <v>4.1102065710270216E-3</v>
      </c>
      <c r="J27" s="640">
        <f>A2.7.7!J27/A2.7.7!J$29</f>
        <v>1.081460246836548E-2</v>
      </c>
      <c r="K27" s="639">
        <f>A2.7.7!K27/A2.7.7!K$29</f>
        <v>3.6317839674310987E-3</v>
      </c>
      <c r="L27" s="640">
        <f>A2.7.7!L27/A2.7.7!L$29</f>
        <v>1.1634023284488822E-2</v>
      </c>
    </row>
    <row r="28" spans="1:12" customFormat="1" ht="13.35" customHeight="1" x14ac:dyDescent="0.2">
      <c r="A28" s="1"/>
      <c r="B28" s="632"/>
      <c r="C28" s="280" t="s">
        <v>42</v>
      </c>
      <c r="D28" s="434" t="s">
        <v>66</v>
      </c>
      <c r="E28" s="641">
        <f>A2.7.7!E28/A2.7.7!E$29</f>
        <v>6.377212095445608E-4</v>
      </c>
      <c r="F28" s="642">
        <f>A2.7.7!F28/A2.7.7!F$29</f>
        <v>2.10067523558025E-3</v>
      </c>
      <c r="G28" s="641">
        <f>A2.7.7!G28/A2.7.7!G$29</f>
        <v>5.77319587628866E-4</v>
      </c>
      <c r="H28" s="642">
        <f>A2.7.7!H28/A2.7.7!H$29</f>
        <v>2.222414843873732E-3</v>
      </c>
      <c r="I28" s="641">
        <f>A2.7.7!I28/A2.7.7!I$29</f>
        <v>3.9776192622842144E-4</v>
      </c>
      <c r="J28" s="642">
        <f>A2.7.7!J28/A2.7.7!J$29</f>
        <v>1.5885333270776376E-3</v>
      </c>
      <c r="K28" s="641">
        <f>A2.7.7!K28/A2.7.7!K$29</f>
        <v>3.8075154497261519E-4</v>
      </c>
      <c r="L28" s="642">
        <f>A2.7.7!L28/A2.7.7!L$29</f>
        <v>1.1002985306733932E-3</v>
      </c>
    </row>
    <row r="29" spans="1:12" customFormat="1" ht="13.35" customHeight="1" x14ac:dyDescent="0.2">
      <c r="A29" s="1"/>
      <c r="B29" s="632"/>
      <c r="C29" s="635" t="s">
        <v>8</v>
      </c>
      <c r="D29" s="636"/>
      <c r="E29" s="643">
        <f>A2.7.7!E29/A2.7.7!E$29</f>
        <v>1</v>
      </c>
      <c r="F29" s="644">
        <f>A2.7.7!F29/A2.7.7!F$29</f>
        <v>1</v>
      </c>
      <c r="G29" s="643">
        <f>A2.7.7!G29/A2.7.7!G$29</f>
        <v>1</v>
      </c>
      <c r="H29" s="644">
        <f>A2.7.7!H29/A2.7.7!H$29</f>
        <v>1</v>
      </c>
      <c r="I29" s="643">
        <f>A2.7.7!I29/A2.7.7!I$29</f>
        <v>1</v>
      </c>
      <c r="J29" s="644">
        <f>A2.7.7!J29/A2.7.7!J$29</f>
        <v>1</v>
      </c>
      <c r="K29" s="643">
        <f>A2.7.7!K29/A2.7.7!K$29</f>
        <v>1</v>
      </c>
      <c r="L29" s="644">
        <f>A2.7.7!L29/A2.7.7!L$29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3">
    <mergeCell ref="C3:D3"/>
    <mergeCell ref="B1:L1"/>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enableFormatConditionsCalculation="0">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528</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90</v>
      </c>
      <c r="D3" s="1043"/>
      <c r="E3" s="623" t="s">
        <v>17</v>
      </c>
      <c r="F3" s="624" t="s">
        <v>104</v>
      </c>
      <c r="G3" s="623" t="s">
        <v>17</v>
      </c>
      <c r="H3" s="624" t="s">
        <v>104</v>
      </c>
      <c r="I3" s="623" t="s">
        <v>17</v>
      </c>
      <c r="J3" s="624" t="s">
        <v>104</v>
      </c>
      <c r="K3" s="623" t="s">
        <v>17</v>
      </c>
      <c r="L3" s="624" t="s">
        <v>104</v>
      </c>
    </row>
    <row r="4" spans="1:12" ht="13.35" customHeight="1" x14ac:dyDescent="0.2">
      <c r="B4" s="145"/>
      <c r="C4" s="16" t="s">
        <v>18</v>
      </c>
      <c r="D4" s="338" t="s">
        <v>43</v>
      </c>
      <c r="E4" s="629">
        <v>2214</v>
      </c>
      <c r="F4" s="630">
        <v>220.20450500000001</v>
      </c>
      <c r="G4" s="629">
        <v>1781</v>
      </c>
      <c r="H4" s="630">
        <v>140.96948</v>
      </c>
      <c r="I4" s="629">
        <v>582</v>
      </c>
      <c r="J4" s="630">
        <v>62.020823</v>
      </c>
      <c r="K4" s="629">
        <v>431</v>
      </c>
      <c r="L4" s="630">
        <v>41.168821000000001</v>
      </c>
    </row>
    <row r="5" spans="1:12" ht="13.35" customHeight="1" x14ac:dyDescent="0.2">
      <c r="B5" s="145"/>
      <c r="C5" s="16" t="s">
        <v>19</v>
      </c>
      <c r="D5" s="339" t="s">
        <v>129</v>
      </c>
      <c r="E5" s="629">
        <v>58</v>
      </c>
      <c r="F5" s="630">
        <v>13.383312999999999</v>
      </c>
      <c r="G5" s="629">
        <v>64</v>
      </c>
      <c r="H5" s="630">
        <v>17.858150999999999</v>
      </c>
      <c r="I5" s="629">
        <v>26</v>
      </c>
      <c r="J5" s="630">
        <v>9.5097520000000006</v>
      </c>
      <c r="K5" s="629">
        <v>15</v>
      </c>
      <c r="L5" s="630">
        <v>5.6244680000000002</v>
      </c>
    </row>
    <row r="6" spans="1:12" ht="13.35" customHeight="1" x14ac:dyDescent="0.2">
      <c r="B6" s="145"/>
      <c r="C6" s="16" t="s">
        <v>20</v>
      </c>
      <c r="D6" s="338" t="s">
        <v>44</v>
      </c>
      <c r="E6" s="629">
        <v>2032</v>
      </c>
      <c r="F6" s="630">
        <v>58.201897000000002</v>
      </c>
      <c r="G6" s="629">
        <v>1771</v>
      </c>
      <c r="H6" s="630">
        <v>53.877310999999999</v>
      </c>
      <c r="I6" s="629">
        <v>695</v>
      </c>
      <c r="J6" s="630">
        <v>22.534658</v>
      </c>
      <c r="K6" s="629">
        <v>503</v>
      </c>
      <c r="L6" s="630">
        <v>17.199908000000001</v>
      </c>
    </row>
    <row r="7" spans="1:12" ht="13.35" customHeight="1" x14ac:dyDescent="0.2">
      <c r="B7" s="145"/>
      <c r="C7" s="16" t="s">
        <v>21</v>
      </c>
      <c r="D7" s="338" t="s">
        <v>45</v>
      </c>
      <c r="E7" s="629">
        <v>1761</v>
      </c>
      <c r="F7" s="630">
        <v>50.872791999999997</v>
      </c>
      <c r="G7" s="629">
        <v>1363</v>
      </c>
      <c r="H7" s="630">
        <v>35.695977999999997</v>
      </c>
      <c r="I7" s="629">
        <v>615</v>
      </c>
      <c r="J7" s="630">
        <v>18.490608999999999</v>
      </c>
      <c r="K7" s="629">
        <v>428</v>
      </c>
      <c r="L7" s="630">
        <v>14.858924</v>
      </c>
    </row>
    <row r="8" spans="1:12" ht="13.35" customHeight="1" x14ac:dyDescent="0.2">
      <c r="B8" s="145"/>
      <c r="C8" s="16" t="s">
        <v>22</v>
      </c>
      <c r="D8" s="338" t="s">
        <v>46</v>
      </c>
      <c r="E8" s="629">
        <v>2442</v>
      </c>
      <c r="F8" s="630">
        <v>62.008364</v>
      </c>
      <c r="G8" s="629">
        <v>1785</v>
      </c>
      <c r="H8" s="630">
        <v>51.618566999999999</v>
      </c>
      <c r="I8" s="629">
        <v>819</v>
      </c>
      <c r="J8" s="630">
        <v>25.143311000000001</v>
      </c>
      <c r="K8" s="629">
        <v>639</v>
      </c>
      <c r="L8" s="630">
        <v>20.344007999999999</v>
      </c>
    </row>
    <row r="9" spans="1:12" ht="13.35" customHeight="1" x14ac:dyDescent="0.2">
      <c r="B9" s="145"/>
      <c r="C9" s="16" t="s">
        <v>23</v>
      </c>
      <c r="D9" s="338" t="s">
        <v>47</v>
      </c>
      <c r="E9" s="629">
        <v>3958</v>
      </c>
      <c r="F9" s="630">
        <v>98.545342000000005</v>
      </c>
      <c r="G9" s="629">
        <v>2712</v>
      </c>
      <c r="H9" s="630">
        <v>70.605136999999999</v>
      </c>
      <c r="I9" s="629">
        <v>1155</v>
      </c>
      <c r="J9" s="630">
        <v>36.703086999999996</v>
      </c>
      <c r="K9" s="629">
        <v>899</v>
      </c>
      <c r="L9" s="630">
        <v>29.084368999999999</v>
      </c>
    </row>
    <row r="10" spans="1:12" s="50" customFormat="1" ht="13.35" customHeight="1" x14ac:dyDescent="0.2">
      <c r="B10" s="145"/>
      <c r="C10" s="16" t="s">
        <v>24</v>
      </c>
      <c r="D10" s="338" t="s">
        <v>48</v>
      </c>
      <c r="E10" s="629">
        <v>4173</v>
      </c>
      <c r="F10" s="630">
        <v>93.282005999999996</v>
      </c>
      <c r="G10" s="629">
        <v>4037</v>
      </c>
      <c r="H10" s="630">
        <v>104.902512</v>
      </c>
      <c r="I10" s="629">
        <v>2060</v>
      </c>
      <c r="J10" s="630">
        <v>61.718333999999999</v>
      </c>
      <c r="K10" s="629">
        <v>1683</v>
      </c>
      <c r="L10" s="630">
        <v>49.899639000000001</v>
      </c>
    </row>
    <row r="11" spans="1:12" s="1" customFormat="1" ht="13.35" customHeight="1" x14ac:dyDescent="0.2">
      <c r="B11" s="631"/>
      <c r="C11" s="16" t="s">
        <v>25</v>
      </c>
      <c r="D11" s="338" t="s">
        <v>49</v>
      </c>
      <c r="E11" s="629">
        <v>4228</v>
      </c>
      <c r="F11" s="630">
        <v>99.547060999999999</v>
      </c>
      <c r="G11" s="629">
        <v>3839</v>
      </c>
      <c r="H11" s="630">
        <v>89.270268000000002</v>
      </c>
      <c r="I11" s="629">
        <v>1922</v>
      </c>
      <c r="J11" s="630">
        <v>59.656115</v>
      </c>
      <c r="K11" s="629">
        <v>1851</v>
      </c>
      <c r="L11" s="630">
        <v>58.164729999999999</v>
      </c>
    </row>
    <row r="12" spans="1:12" s="1" customFormat="1" ht="13.35" customHeight="1" x14ac:dyDescent="0.2">
      <c r="B12" s="631"/>
      <c r="C12" s="16" t="s">
        <v>26</v>
      </c>
      <c r="D12" s="338" t="s">
        <v>50</v>
      </c>
      <c r="E12" s="629">
        <v>4432</v>
      </c>
      <c r="F12" s="630">
        <v>113.768789</v>
      </c>
      <c r="G12" s="629">
        <v>3714</v>
      </c>
      <c r="H12" s="630">
        <v>89.594044999999994</v>
      </c>
      <c r="I12" s="629">
        <v>1679</v>
      </c>
      <c r="J12" s="630">
        <v>52.649645</v>
      </c>
      <c r="K12" s="629">
        <v>1730</v>
      </c>
      <c r="L12" s="630">
        <v>55.277661999999999</v>
      </c>
    </row>
    <row r="13" spans="1:12" s="1" customFormat="1" ht="13.35" customHeight="1" x14ac:dyDescent="0.2">
      <c r="B13" s="631"/>
      <c r="C13" s="16" t="s">
        <v>27</v>
      </c>
      <c r="D13" s="338" t="s">
        <v>51</v>
      </c>
      <c r="E13" s="629">
        <v>4449</v>
      </c>
      <c r="F13" s="630">
        <v>105.276188</v>
      </c>
      <c r="G13" s="629">
        <v>3688</v>
      </c>
      <c r="H13" s="630">
        <v>87.487523999999993</v>
      </c>
      <c r="I13" s="629">
        <v>1575</v>
      </c>
      <c r="J13" s="630">
        <v>52.304547999999997</v>
      </c>
      <c r="K13" s="629">
        <v>1664</v>
      </c>
      <c r="L13" s="630">
        <v>56.859338999999999</v>
      </c>
    </row>
    <row r="14" spans="1:12" s="1" customFormat="1" ht="13.35" customHeight="1" x14ac:dyDescent="0.2">
      <c r="B14" s="631"/>
      <c r="C14" s="16" t="s">
        <v>28</v>
      </c>
      <c r="D14" s="338" t="s">
        <v>52</v>
      </c>
      <c r="E14" s="629">
        <v>4578</v>
      </c>
      <c r="F14" s="630">
        <v>111.49619199999999</v>
      </c>
      <c r="G14" s="629">
        <v>3610</v>
      </c>
      <c r="H14" s="630">
        <v>86.238084000000001</v>
      </c>
      <c r="I14" s="629">
        <v>1511</v>
      </c>
      <c r="J14" s="630">
        <v>52.366573000000002</v>
      </c>
      <c r="K14" s="629">
        <v>1512</v>
      </c>
      <c r="L14" s="630">
        <v>50.039019000000003</v>
      </c>
    </row>
    <row r="15" spans="1:12" customFormat="1" ht="13.35" customHeight="1" x14ac:dyDescent="0.2">
      <c r="A15" s="1"/>
      <c r="B15" s="631"/>
      <c r="C15" s="16" t="s">
        <v>29</v>
      </c>
      <c r="D15" s="338" t="s">
        <v>53</v>
      </c>
      <c r="E15" s="629">
        <v>4668</v>
      </c>
      <c r="F15" s="630">
        <v>121.569507</v>
      </c>
      <c r="G15" s="629">
        <v>3546</v>
      </c>
      <c r="H15" s="630">
        <v>86.918083999999993</v>
      </c>
      <c r="I15" s="629">
        <v>1413</v>
      </c>
      <c r="J15" s="630">
        <v>49.502839000000002</v>
      </c>
      <c r="K15" s="629">
        <v>1385</v>
      </c>
      <c r="L15" s="630">
        <v>46.796449000000003</v>
      </c>
    </row>
    <row r="16" spans="1:12" customFormat="1" ht="13.35" customHeight="1" x14ac:dyDescent="0.2">
      <c r="A16" s="1"/>
      <c r="B16" s="631"/>
      <c r="C16" s="16" t="s">
        <v>30</v>
      </c>
      <c r="D16" s="338" t="s">
        <v>54</v>
      </c>
      <c r="E16" s="629">
        <v>4217</v>
      </c>
      <c r="F16" s="630">
        <v>104.272741</v>
      </c>
      <c r="G16" s="629">
        <v>3458</v>
      </c>
      <c r="H16" s="630">
        <v>85.827822999999995</v>
      </c>
      <c r="I16" s="629">
        <v>1336</v>
      </c>
      <c r="J16" s="630">
        <v>46.751466000000001</v>
      </c>
      <c r="K16" s="629">
        <v>1406</v>
      </c>
      <c r="L16" s="630">
        <v>48.958461</v>
      </c>
    </row>
    <row r="17" spans="1:12" customFormat="1" ht="13.35" customHeight="1" x14ac:dyDescent="0.2">
      <c r="A17" s="1"/>
      <c r="B17" s="631"/>
      <c r="C17" s="16" t="s">
        <v>31</v>
      </c>
      <c r="D17" s="338" t="s">
        <v>55</v>
      </c>
      <c r="E17" s="629">
        <v>4540</v>
      </c>
      <c r="F17" s="630">
        <v>110.67099899999999</v>
      </c>
      <c r="G17" s="629">
        <v>3489</v>
      </c>
      <c r="H17" s="630">
        <v>88.194096000000002</v>
      </c>
      <c r="I17" s="629">
        <v>1341</v>
      </c>
      <c r="J17" s="630">
        <v>49.750534999999999</v>
      </c>
      <c r="K17" s="629">
        <v>1246</v>
      </c>
      <c r="L17" s="630">
        <v>44.420670999999999</v>
      </c>
    </row>
    <row r="18" spans="1:12" customFormat="1" ht="13.35" customHeight="1" x14ac:dyDescent="0.2">
      <c r="A18" s="1"/>
      <c r="B18" s="631"/>
      <c r="C18" s="16" t="s">
        <v>32</v>
      </c>
      <c r="D18" s="338" t="s">
        <v>56</v>
      </c>
      <c r="E18" s="629">
        <v>4308</v>
      </c>
      <c r="F18" s="630">
        <v>103.036625</v>
      </c>
      <c r="G18" s="629">
        <v>3506</v>
      </c>
      <c r="H18" s="630">
        <v>87.232049000000004</v>
      </c>
      <c r="I18" s="629">
        <v>1210</v>
      </c>
      <c r="J18" s="630">
        <v>45.697754000000003</v>
      </c>
      <c r="K18" s="629">
        <v>1247</v>
      </c>
      <c r="L18" s="630">
        <v>43.774771000000001</v>
      </c>
    </row>
    <row r="19" spans="1:12" customFormat="1" ht="13.35" customHeight="1" x14ac:dyDescent="0.2">
      <c r="A19" s="1"/>
      <c r="B19" s="631"/>
      <c r="C19" s="16" t="s">
        <v>33</v>
      </c>
      <c r="D19" s="338" t="s">
        <v>57</v>
      </c>
      <c r="E19" s="629">
        <v>3984</v>
      </c>
      <c r="F19" s="630">
        <v>96.187987000000007</v>
      </c>
      <c r="G19" s="629">
        <v>3549</v>
      </c>
      <c r="H19" s="630">
        <v>85.393924999999996</v>
      </c>
      <c r="I19" s="629">
        <v>1192</v>
      </c>
      <c r="J19" s="630">
        <v>45.570557000000001</v>
      </c>
      <c r="K19" s="629">
        <v>1215</v>
      </c>
      <c r="L19" s="630">
        <v>44.176257</v>
      </c>
    </row>
    <row r="20" spans="1:12" customFormat="1" ht="13.35" customHeight="1" x14ac:dyDescent="0.2">
      <c r="A20" s="1"/>
      <c r="B20" s="631"/>
      <c r="C20" s="16" t="s">
        <v>34</v>
      </c>
      <c r="D20" s="338" t="s">
        <v>58</v>
      </c>
      <c r="E20" s="629">
        <v>16452</v>
      </c>
      <c r="F20" s="630">
        <v>435.698893</v>
      </c>
      <c r="G20" s="629">
        <v>15135</v>
      </c>
      <c r="H20" s="630">
        <v>401.48591499999998</v>
      </c>
      <c r="I20" s="629">
        <v>5451</v>
      </c>
      <c r="J20" s="630">
        <v>218.56400500000001</v>
      </c>
      <c r="K20" s="629">
        <v>5063</v>
      </c>
      <c r="L20" s="630">
        <v>203.59080700000001</v>
      </c>
    </row>
    <row r="21" spans="1:12" customFormat="1" ht="13.35" customHeight="1" x14ac:dyDescent="0.2">
      <c r="A21" s="1"/>
      <c r="B21" s="631"/>
      <c r="C21" s="16" t="s">
        <v>35</v>
      </c>
      <c r="D21" s="338" t="s">
        <v>59</v>
      </c>
      <c r="E21" s="629">
        <v>20900</v>
      </c>
      <c r="F21" s="630">
        <v>681.65226900000005</v>
      </c>
      <c r="G21" s="629">
        <v>19349</v>
      </c>
      <c r="H21" s="630">
        <v>620.34580500000004</v>
      </c>
      <c r="I21" s="629">
        <v>7661</v>
      </c>
      <c r="J21" s="630">
        <v>371.28892500000001</v>
      </c>
      <c r="K21" s="629">
        <v>7546</v>
      </c>
      <c r="L21" s="630">
        <v>367.54470600000002</v>
      </c>
    </row>
    <row r="22" spans="1:12" customFormat="1" ht="13.35" customHeight="1" x14ac:dyDescent="0.2">
      <c r="A22" s="1"/>
      <c r="B22" s="631"/>
      <c r="C22" s="16" t="s">
        <v>36</v>
      </c>
      <c r="D22" s="338" t="s">
        <v>60</v>
      </c>
      <c r="E22" s="629">
        <v>12227</v>
      </c>
      <c r="F22" s="630">
        <v>479.79194899999999</v>
      </c>
      <c r="G22" s="629">
        <v>11118</v>
      </c>
      <c r="H22" s="630">
        <v>451.48116399999998</v>
      </c>
      <c r="I22" s="629">
        <v>4845</v>
      </c>
      <c r="J22" s="630">
        <v>304.55424399999998</v>
      </c>
      <c r="K22" s="629">
        <v>4759</v>
      </c>
      <c r="L22" s="630">
        <v>283.27121199999999</v>
      </c>
    </row>
    <row r="23" spans="1:12" customFormat="1" ht="13.35" customHeight="1" x14ac:dyDescent="0.2">
      <c r="A23" s="1"/>
      <c r="B23" s="631"/>
      <c r="C23" s="16" t="s">
        <v>37</v>
      </c>
      <c r="D23" s="338" t="s">
        <v>61</v>
      </c>
      <c r="E23" s="629">
        <v>7708</v>
      </c>
      <c r="F23" s="630">
        <v>391.78380399999998</v>
      </c>
      <c r="G23" s="629">
        <v>7161</v>
      </c>
      <c r="H23" s="630">
        <v>354.24154099999998</v>
      </c>
      <c r="I23" s="629">
        <v>3021</v>
      </c>
      <c r="J23" s="630">
        <v>248.04639800000001</v>
      </c>
      <c r="K23" s="629">
        <v>3036</v>
      </c>
      <c r="L23" s="630">
        <v>229.39352099999999</v>
      </c>
    </row>
    <row r="24" spans="1:12" customFormat="1" ht="13.35" customHeight="1" x14ac:dyDescent="0.2">
      <c r="A24" s="1"/>
      <c r="B24" s="631"/>
      <c r="C24" s="16" t="s">
        <v>38</v>
      </c>
      <c r="D24" s="338" t="s">
        <v>62</v>
      </c>
      <c r="E24" s="629">
        <v>8981</v>
      </c>
      <c r="F24" s="630">
        <v>581.60290299999997</v>
      </c>
      <c r="G24" s="629">
        <v>8489</v>
      </c>
      <c r="H24" s="630">
        <v>542.91226500000005</v>
      </c>
      <c r="I24" s="629">
        <v>3735</v>
      </c>
      <c r="J24" s="630">
        <v>413.68414899999999</v>
      </c>
      <c r="K24" s="629">
        <v>3822</v>
      </c>
      <c r="L24" s="630">
        <v>396.60771799999998</v>
      </c>
    </row>
    <row r="25" spans="1:12" customFormat="1" ht="13.35" customHeight="1" x14ac:dyDescent="0.2">
      <c r="A25" s="1"/>
      <c r="B25" s="631"/>
      <c r="C25" s="16" t="s">
        <v>39</v>
      </c>
      <c r="D25" s="338" t="s">
        <v>63</v>
      </c>
      <c r="E25" s="629">
        <v>3450</v>
      </c>
      <c r="F25" s="630">
        <v>313.99478800000003</v>
      </c>
      <c r="G25" s="629">
        <v>3078</v>
      </c>
      <c r="H25" s="630">
        <v>270.39375699999999</v>
      </c>
      <c r="I25" s="629">
        <v>1421</v>
      </c>
      <c r="J25" s="630">
        <v>231.460859</v>
      </c>
      <c r="K25" s="629">
        <v>1531</v>
      </c>
      <c r="L25" s="630">
        <v>217.069209</v>
      </c>
    </row>
    <row r="26" spans="1:12" customFormat="1" ht="13.35" customHeight="1" x14ac:dyDescent="0.2">
      <c r="A26" s="1"/>
      <c r="B26" s="631"/>
      <c r="C26" s="16" t="s">
        <v>40</v>
      </c>
      <c r="D26" s="338" t="s">
        <v>64</v>
      </c>
      <c r="E26" s="629">
        <v>3327</v>
      </c>
      <c r="F26" s="630">
        <v>397.35790600000001</v>
      </c>
      <c r="G26" s="629">
        <v>3026</v>
      </c>
      <c r="H26" s="630">
        <v>361.89453099999997</v>
      </c>
      <c r="I26" s="629">
        <v>1285</v>
      </c>
      <c r="J26" s="630">
        <v>309.64943699999998</v>
      </c>
      <c r="K26" s="629">
        <v>1392</v>
      </c>
      <c r="L26" s="630">
        <v>299.52275200000003</v>
      </c>
    </row>
    <row r="27" spans="1:12" customFormat="1" ht="13.35" customHeight="1" x14ac:dyDescent="0.2">
      <c r="A27" s="1"/>
      <c r="B27" s="631"/>
      <c r="C27" s="16" t="s">
        <v>41</v>
      </c>
      <c r="D27" s="338" t="s">
        <v>65</v>
      </c>
      <c r="E27" s="629">
        <v>957</v>
      </c>
      <c r="F27" s="630">
        <v>175.06702100000001</v>
      </c>
      <c r="G27" s="629">
        <v>830</v>
      </c>
      <c r="H27" s="630">
        <v>197.19272900000001</v>
      </c>
      <c r="I27" s="629">
        <v>259</v>
      </c>
      <c r="J27" s="630">
        <v>90.999454</v>
      </c>
      <c r="K27" s="629">
        <v>321</v>
      </c>
      <c r="L27" s="630">
        <v>121.573814</v>
      </c>
    </row>
    <row r="28" spans="1:12" customFormat="1" ht="13.35" customHeight="1" x14ac:dyDescent="0.2">
      <c r="A28" s="1"/>
      <c r="B28" s="632"/>
      <c r="C28" s="280" t="s">
        <v>42</v>
      </c>
      <c r="D28" s="434" t="s">
        <v>66</v>
      </c>
      <c r="E28" s="633">
        <v>208</v>
      </c>
      <c r="F28" s="634">
        <v>75.767162999999996</v>
      </c>
      <c r="G28" s="633">
        <v>153</v>
      </c>
      <c r="H28" s="634">
        <v>114.405683</v>
      </c>
      <c r="I28" s="633">
        <v>25</v>
      </c>
      <c r="J28" s="634">
        <v>14.449261</v>
      </c>
      <c r="K28" s="633">
        <v>28</v>
      </c>
      <c r="L28" s="634">
        <v>10.8306</v>
      </c>
    </row>
    <row r="29" spans="1:12" customFormat="1" ht="13.35" customHeight="1" x14ac:dyDescent="0.2">
      <c r="A29" s="1"/>
      <c r="B29" s="632"/>
      <c r="C29" s="635" t="s">
        <v>8</v>
      </c>
      <c r="D29" s="636"/>
      <c r="E29" s="637">
        <f t="shared" ref="E29:L29" si="0">SUM(E4:E28)</f>
        <v>130252</v>
      </c>
      <c r="F29" s="638">
        <f t="shared" si="0"/>
        <v>5095.0410040000006</v>
      </c>
      <c r="G29" s="637">
        <f t="shared" si="0"/>
        <v>114251</v>
      </c>
      <c r="H29" s="638">
        <f t="shared" si="0"/>
        <v>4576.0364239999999</v>
      </c>
      <c r="I29" s="637">
        <f t="shared" si="0"/>
        <v>46834</v>
      </c>
      <c r="J29" s="638">
        <f t="shared" si="0"/>
        <v>2893.0673379999998</v>
      </c>
      <c r="K29" s="637">
        <f t="shared" si="0"/>
        <v>45352</v>
      </c>
      <c r="L29" s="638">
        <f t="shared" si="0"/>
        <v>2756.0518349999993</v>
      </c>
    </row>
    <row r="30" spans="1:12" s="1" customFormat="1" ht="13.35" customHeight="1" x14ac:dyDescent="0.2">
      <c r="B30" s="645"/>
      <c r="C30" s="645"/>
    </row>
    <row r="31" spans="1:12" s="1" customFormat="1" ht="13.35" customHeight="1" x14ac:dyDescent="0.2"/>
    <row r="32" spans="1:12" customFormat="1" ht="13.35" customHeight="1" x14ac:dyDescent="0.2">
      <c r="A32" s="1"/>
      <c r="G32" s="352" t="s">
        <v>371</v>
      </c>
      <c r="I32" s="1"/>
    </row>
    <row r="33" spans="1:12" customFormat="1" ht="13.35" customHeight="1" x14ac:dyDescent="0.2">
      <c r="A33" s="1"/>
      <c r="I33" s="1"/>
    </row>
    <row r="34" spans="1:12" customFormat="1" ht="13.35" hidden="1" customHeight="1" x14ac:dyDescent="0.2">
      <c r="A34" s="1"/>
      <c r="D34" s="106" t="s">
        <v>227</v>
      </c>
      <c r="E34" s="84">
        <f>A2.7.1!E13-E29</f>
        <v>0</v>
      </c>
      <c r="F34" s="84">
        <f>A2.7.1!F13-F29</f>
        <v>0</v>
      </c>
      <c r="G34" s="84">
        <f>A2.7.1!G13-G29</f>
        <v>0</v>
      </c>
      <c r="H34" s="84">
        <f>A2.7.1!H13-H29</f>
        <v>0</v>
      </c>
      <c r="I34" s="84">
        <f>A2.7.1!I13-I29</f>
        <v>0</v>
      </c>
      <c r="J34" s="84">
        <f>A2.7.1!J13-J29</f>
        <v>0</v>
      </c>
      <c r="K34" s="84">
        <f>A2.7.1!K13-K29</f>
        <v>0</v>
      </c>
      <c r="L34" s="107">
        <f>A2.7.1!L13-L29</f>
        <v>0</v>
      </c>
    </row>
    <row r="35" spans="1:12" customFormat="1" ht="13.35" customHeight="1" x14ac:dyDescent="0.2">
      <c r="A35" s="1"/>
      <c r="I35" s="1"/>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pageSetUpPr fitToPage="1"/>
  </sheetPr>
  <dimension ref="A1:K14"/>
  <sheetViews>
    <sheetView showGridLines="0" zoomScaleNormal="100" zoomScaleSheetLayoutView="90" workbookViewId="0"/>
  </sheetViews>
  <sheetFormatPr defaultColWidth="9.140625" defaultRowHeight="12.75" x14ac:dyDescent="0.2"/>
  <cols>
    <col min="1" max="1" width="3.7109375" customWidth="1"/>
    <col min="2" max="2" width="0.85546875" style="2" customWidth="1"/>
    <col min="3" max="3" width="8.7109375" style="2" customWidth="1"/>
    <col min="4" max="8" width="12.7109375" style="2" customWidth="1"/>
    <col min="9" max="9" width="12.7109375" style="6" customWidth="1"/>
    <col min="10" max="16384" width="9.140625" style="10"/>
  </cols>
  <sheetData>
    <row r="1" spans="1:11" customFormat="1" ht="15" customHeight="1" x14ac:dyDescent="0.2">
      <c r="B1" s="474" t="s">
        <v>557</v>
      </c>
      <c r="C1" s="320"/>
      <c r="D1" s="320"/>
      <c r="E1" s="320"/>
      <c r="F1" s="320"/>
      <c r="G1" s="320"/>
      <c r="H1" s="320"/>
      <c r="I1" s="320"/>
    </row>
    <row r="2" spans="1:11" customFormat="1" ht="12.6" customHeight="1" x14ac:dyDescent="0.2">
      <c r="A2" s="312"/>
      <c r="B2" s="495"/>
      <c r="C2" s="1004" t="s">
        <v>168</v>
      </c>
      <c r="D2" s="941" t="s">
        <v>209</v>
      </c>
      <c r="E2" s="1007" t="s">
        <v>108</v>
      </c>
      <c r="F2" s="1010" t="s">
        <v>374</v>
      </c>
      <c r="G2" s="1010" t="s">
        <v>68</v>
      </c>
      <c r="H2" s="1013" t="s">
        <v>397</v>
      </c>
      <c r="I2" s="941" t="s">
        <v>398</v>
      </c>
    </row>
    <row r="3" spans="1:11" customFormat="1" ht="12.6" customHeight="1" x14ac:dyDescent="0.2">
      <c r="A3" s="312"/>
      <c r="B3" s="496"/>
      <c r="C3" s="1005"/>
      <c r="D3" s="942"/>
      <c r="E3" s="1008"/>
      <c r="F3" s="1011"/>
      <c r="G3" s="1011"/>
      <c r="H3" s="1014"/>
      <c r="I3" s="942"/>
    </row>
    <row r="4" spans="1:11" customFormat="1" ht="12.6" customHeight="1" x14ac:dyDescent="0.2">
      <c r="A4" s="312"/>
      <c r="B4" s="497"/>
      <c r="C4" s="1006"/>
      <c r="D4" s="943"/>
      <c r="E4" s="1009"/>
      <c r="F4" s="1012"/>
      <c r="G4" s="1012"/>
      <c r="H4" s="1015"/>
      <c r="I4" s="943"/>
    </row>
    <row r="5" spans="1:11" customFormat="1" ht="13.35" customHeight="1" x14ac:dyDescent="0.2">
      <c r="A5" s="312"/>
      <c r="B5" s="321"/>
      <c r="C5" s="341">
        <v>2009</v>
      </c>
      <c r="D5" s="700">
        <f>A2.1.1!E29</f>
        <v>4712709</v>
      </c>
      <c r="E5" s="701">
        <f>A2.1.1!F29</f>
        <v>818509.868487</v>
      </c>
      <c r="F5" s="704">
        <f>E5/D5*1000000</f>
        <v>173681.39396830995</v>
      </c>
      <c r="G5" s="704">
        <f>A2.1.1!G29</f>
        <v>172641.01225500001</v>
      </c>
      <c r="H5" s="705">
        <f>G5/D5*1000000</f>
        <v>36633.072879102023</v>
      </c>
      <c r="I5" s="336">
        <f>G5/E5</f>
        <v>0.21092111274617087</v>
      </c>
      <c r="K5" s="289"/>
    </row>
    <row r="6" spans="1:11" customFormat="1" ht="13.35" customHeight="1" x14ac:dyDescent="0.2">
      <c r="A6" s="312"/>
      <c r="B6" s="321"/>
      <c r="C6" s="341">
        <v>2010</v>
      </c>
      <c r="D6" s="700">
        <f>A2.1.1!H29</f>
        <v>5001558</v>
      </c>
      <c r="E6" s="701">
        <f>A2.1.1!I29</f>
        <v>867346.47333100007</v>
      </c>
      <c r="F6" s="704">
        <f>E6/D6*1000000</f>
        <v>173415.25847166026</v>
      </c>
      <c r="G6" s="704">
        <f>A2.1.1!J29</f>
        <v>174125.44379600001</v>
      </c>
      <c r="H6" s="705">
        <f>G6/D6*1000000</f>
        <v>34814.24064181601</v>
      </c>
      <c r="I6" s="336">
        <f>G6/E6</f>
        <v>0.20075650175561341</v>
      </c>
    </row>
    <row r="7" spans="1:11" customFormat="1" ht="13.35" customHeight="1" x14ac:dyDescent="0.2">
      <c r="A7" s="312"/>
      <c r="B7" s="321"/>
      <c r="C7" s="341">
        <v>2011</v>
      </c>
      <c r="D7" s="700">
        <f>A2.1.1!K29</f>
        <v>5199360</v>
      </c>
      <c r="E7" s="701">
        <f>A2.1.1!L29</f>
        <v>962782.58747999999</v>
      </c>
      <c r="F7" s="704">
        <f>E7/D7*1000000</f>
        <v>185173.28815084932</v>
      </c>
      <c r="G7" s="704">
        <f>A2.1.1!M29</f>
        <v>193502.82702099998</v>
      </c>
      <c r="H7" s="705">
        <f>G7/D7*1000000</f>
        <v>37216.662631746978</v>
      </c>
      <c r="I7" s="336">
        <f>G7/E7</f>
        <v>0.20098289015329709</v>
      </c>
    </row>
    <row r="8" spans="1:11" customFormat="1" ht="13.35" customHeight="1" x14ac:dyDescent="0.2">
      <c r="A8" s="312"/>
      <c r="B8" s="322"/>
      <c r="C8" s="494">
        <v>2012</v>
      </c>
      <c r="D8" s="702">
        <f>A2.1.1!N29</f>
        <v>5108207</v>
      </c>
      <c r="E8" s="703">
        <f>A2.1.1!O29</f>
        <v>1023935.7377770001</v>
      </c>
      <c r="F8" s="706">
        <f>E8/D8*1000000</f>
        <v>200449.14737734786</v>
      </c>
      <c r="G8" s="706">
        <f>A2.1.1!P29</f>
        <v>206668.34961500001</v>
      </c>
      <c r="H8" s="707">
        <f>G8/D8*1000000</f>
        <v>40458.099997709571</v>
      </c>
      <c r="I8" s="337">
        <f>G8/E8</f>
        <v>0.20183722668346762</v>
      </c>
    </row>
    <row r="9" spans="1:11" s="1" customFormat="1" ht="13.35" customHeight="1" x14ac:dyDescent="0.2">
      <c r="C9" s="68"/>
    </row>
    <row r="11" spans="1:11" x14ac:dyDescent="0.2">
      <c r="D11" s="288"/>
      <c r="E11" s="288"/>
      <c r="F11" s="352" t="s">
        <v>371</v>
      </c>
      <c r="G11" s="288"/>
      <c r="H11" s="288"/>
      <c r="I11" s="288"/>
    </row>
    <row r="12" spans="1:11" x14ac:dyDescent="0.2">
      <c r="D12" s="288"/>
      <c r="E12" s="288"/>
      <c r="F12" s="288"/>
      <c r="G12" s="288"/>
      <c r="H12" s="288"/>
      <c r="I12" s="288"/>
    </row>
    <row r="13" spans="1:11" x14ac:dyDescent="0.2">
      <c r="E13" s="290"/>
      <c r="F13" s="290"/>
    </row>
    <row r="14" spans="1:11" x14ac:dyDescent="0.2">
      <c r="D14" s="287"/>
      <c r="E14" s="290"/>
      <c r="F14" s="290"/>
    </row>
  </sheetData>
  <mergeCells count="7">
    <mergeCell ref="I2:I4"/>
    <mergeCell ref="C2:C4"/>
    <mergeCell ref="D2:D4"/>
    <mergeCell ref="E2:E4"/>
    <mergeCell ref="F2:F4"/>
    <mergeCell ref="G2:G4"/>
    <mergeCell ref="H2:H4"/>
  </mergeCells>
  <hyperlinks>
    <hyperlink ref="F1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tabColor theme="7" tint="0.79998168889431442"/>
    <pageSetUpPr fitToPage="1"/>
  </sheetPr>
  <dimension ref="A1:L34"/>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3" width="8.140625" style="10" customWidth="1"/>
    <col min="14" max="16384" width="9.140625" style="10"/>
  </cols>
  <sheetData>
    <row r="1" spans="1:12" s="8" customFormat="1" ht="15" customHeight="1" x14ac:dyDescent="0.2">
      <c r="A1" s="69"/>
      <c r="B1" s="439" t="s">
        <v>529</v>
      </c>
      <c r="C1" s="311"/>
      <c r="D1" s="311"/>
      <c r="E1" s="311"/>
      <c r="F1" s="311"/>
      <c r="G1" s="311"/>
      <c r="H1" s="311"/>
      <c r="I1" s="311"/>
      <c r="J1" s="311"/>
      <c r="K1" s="311"/>
      <c r="L1" s="311"/>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28" t="s">
        <v>194</v>
      </c>
      <c r="D3" s="1030"/>
      <c r="E3" s="623" t="s">
        <v>17</v>
      </c>
      <c r="F3" s="624" t="s">
        <v>85</v>
      </c>
      <c r="G3" s="623" t="s">
        <v>17</v>
      </c>
      <c r="H3" s="624" t="s">
        <v>85</v>
      </c>
      <c r="I3" s="623" t="s">
        <v>17</v>
      </c>
      <c r="J3" s="624" t="s">
        <v>85</v>
      </c>
      <c r="K3" s="623" t="s">
        <v>17</v>
      </c>
      <c r="L3" s="624" t="s">
        <v>85</v>
      </c>
    </row>
    <row r="4" spans="1:12" ht="13.35" customHeight="1" x14ac:dyDescent="0.2">
      <c r="B4" s="145"/>
      <c r="C4" s="16" t="s">
        <v>18</v>
      </c>
      <c r="D4" s="338" t="s">
        <v>43</v>
      </c>
      <c r="E4" s="639">
        <f>A2.7.8!E4/A2.7.8!E$29</f>
        <v>1.6997819611215183E-2</v>
      </c>
      <c r="F4" s="640">
        <f>A2.7.8!F4/A2.7.8!F$29</f>
        <v>4.3219378377352111E-2</v>
      </c>
      <c r="G4" s="639">
        <f>A2.7.8!G4/A2.7.8!G$29</f>
        <v>1.5588485002319455E-2</v>
      </c>
      <c r="H4" s="640">
        <f>A2.7.8!H4/A2.7.8!H$29</f>
        <v>3.0806022273042993E-2</v>
      </c>
      <c r="I4" s="639">
        <f>A2.7.8!I4/A2.7.8!I$29</f>
        <v>1.2426869368407567E-2</v>
      </c>
      <c r="J4" s="640">
        <f>A2.7.8!J4/A2.7.8!J$29</f>
        <v>2.143773917231926E-2</v>
      </c>
      <c r="K4" s="639">
        <f>A2.7.8!K4/A2.7.8!K$29</f>
        <v>9.5034397600987832E-3</v>
      </c>
      <c r="L4" s="640">
        <f>A2.7.8!L4/A2.7.8!L$29</f>
        <v>1.4937607659327645E-2</v>
      </c>
    </row>
    <row r="5" spans="1:12" ht="13.35" customHeight="1" x14ac:dyDescent="0.2">
      <c r="B5" s="145"/>
      <c r="C5" s="16" t="s">
        <v>19</v>
      </c>
      <c r="D5" s="339" t="s">
        <v>129</v>
      </c>
      <c r="E5" s="639">
        <f>A2.7.8!E5/A2.7.8!E$29</f>
        <v>4.4529066732180696E-4</v>
      </c>
      <c r="F5" s="640">
        <f>A2.7.8!F5/A2.7.8!F$29</f>
        <v>2.6267331292315539E-3</v>
      </c>
      <c r="G5" s="639">
        <f>A2.7.8!G5/A2.7.8!G$29</f>
        <v>5.6017015168357393E-4</v>
      </c>
      <c r="H5" s="640">
        <f>A2.7.8!H5/A2.7.8!H$29</f>
        <v>3.902536899911704E-3</v>
      </c>
      <c r="I5" s="639">
        <f>A2.7.8!I5/A2.7.8!I$29</f>
        <v>5.5515223982576759E-4</v>
      </c>
      <c r="J5" s="640">
        <f>A2.7.8!J5/A2.7.8!J$29</f>
        <v>3.2870828394109095E-3</v>
      </c>
      <c r="K5" s="639">
        <f>A2.7.8!K5/A2.7.8!K$29</f>
        <v>3.3074616334450522E-4</v>
      </c>
      <c r="L5" s="640">
        <f>A2.7.8!L5/A2.7.8!L$29</f>
        <v>2.0407700350817248E-3</v>
      </c>
    </row>
    <row r="6" spans="1:12" ht="13.35" customHeight="1" x14ac:dyDescent="0.2">
      <c r="B6" s="145"/>
      <c r="C6" s="16" t="s">
        <v>20</v>
      </c>
      <c r="D6" s="338" t="s">
        <v>44</v>
      </c>
      <c r="E6" s="639">
        <f>A2.7.8!E6/A2.7.8!E$29</f>
        <v>1.5600528206860547E-2</v>
      </c>
      <c r="F6" s="640">
        <f>A2.7.8!F6/A2.7.8!F$29</f>
        <v>1.1423244082688837E-2</v>
      </c>
      <c r="G6" s="639">
        <f>A2.7.8!G6/A2.7.8!G$29</f>
        <v>1.5500958416118897E-2</v>
      </c>
      <c r="H6" s="640">
        <f>A2.7.8!H6/A2.7.8!H$29</f>
        <v>1.1773794176425026E-2</v>
      </c>
      <c r="I6" s="639">
        <f>A2.7.8!I6/A2.7.8!I$29</f>
        <v>1.4839646410727249E-2</v>
      </c>
      <c r="J6" s="640">
        <f>A2.7.8!J6/A2.7.8!J$29</f>
        <v>7.7891923578862791E-3</v>
      </c>
      <c r="K6" s="639">
        <f>A2.7.8!K6/A2.7.8!K$29</f>
        <v>1.1091021344152407E-2</v>
      </c>
      <c r="L6" s="640">
        <f>A2.7.8!L6/A2.7.8!L$29</f>
        <v>6.2407781238265443E-3</v>
      </c>
    </row>
    <row r="7" spans="1:12" ht="13.35" customHeight="1" x14ac:dyDescent="0.2">
      <c r="B7" s="145"/>
      <c r="C7" s="16" t="s">
        <v>21</v>
      </c>
      <c r="D7" s="338" t="s">
        <v>45</v>
      </c>
      <c r="E7" s="639">
        <f>A2.7.8!E7/A2.7.8!E$29</f>
        <v>1.3519945950925897E-2</v>
      </c>
      <c r="F7" s="640">
        <f>A2.7.8!F7/A2.7.8!F$29</f>
        <v>9.9847659636224575E-3</v>
      </c>
      <c r="G7" s="639">
        <f>A2.7.8!G7/A2.7.8!G$29</f>
        <v>1.1929873699136112E-2</v>
      </c>
      <c r="H7" s="640">
        <f>A2.7.8!H7/A2.7.8!H$29</f>
        <v>7.800632401609572E-3</v>
      </c>
      <c r="I7" s="639">
        <f>A2.7.8!I7/A2.7.8!I$29</f>
        <v>1.3131485672801811E-2</v>
      </c>
      <c r="J7" s="640">
        <f>A2.7.8!J7/A2.7.8!J$29</f>
        <v>6.3913510609064162E-3</v>
      </c>
      <c r="K7" s="639">
        <f>A2.7.8!K7/A2.7.8!K$29</f>
        <v>9.437290527429882E-3</v>
      </c>
      <c r="L7" s="640">
        <f>A2.7.8!L7/A2.7.8!L$29</f>
        <v>5.3913804563839067E-3</v>
      </c>
    </row>
    <row r="8" spans="1:12" ht="13.35" customHeight="1" x14ac:dyDescent="0.2">
      <c r="B8" s="145"/>
      <c r="C8" s="16" t="s">
        <v>22</v>
      </c>
      <c r="D8" s="338" t="s">
        <v>46</v>
      </c>
      <c r="E8" s="639">
        <f>A2.7.8!E8/A2.7.8!E$29</f>
        <v>1.8748272579307803E-2</v>
      </c>
      <c r="F8" s="640">
        <f>A2.7.8!F8/A2.7.8!F$29</f>
        <v>1.2170336598138983E-2</v>
      </c>
      <c r="G8" s="639">
        <f>A2.7.8!G8/A2.7.8!G$29</f>
        <v>1.5623495636799678E-2</v>
      </c>
      <c r="H8" s="640">
        <f>A2.7.8!H8/A2.7.8!H$29</f>
        <v>1.1280191462042436E-2</v>
      </c>
      <c r="I8" s="639">
        <f>A2.7.8!I8/A2.7.8!I$29</f>
        <v>1.748729555451168E-2</v>
      </c>
      <c r="J8" s="640">
        <f>A2.7.8!J8/A2.7.8!J$29</f>
        <v>8.6908834335607862E-3</v>
      </c>
      <c r="K8" s="639">
        <f>A2.7.8!K8/A2.7.8!K$29</f>
        <v>1.4089786558475922E-2</v>
      </c>
      <c r="L8" s="640">
        <f>A2.7.8!L8/A2.7.8!L$29</f>
        <v>7.3815766966516452E-3</v>
      </c>
    </row>
    <row r="9" spans="1:12" ht="13.35" customHeight="1" x14ac:dyDescent="0.2">
      <c r="B9" s="145"/>
      <c r="C9" s="16" t="s">
        <v>23</v>
      </c>
      <c r="D9" s="338" t="s">
        <v>47</v>
      </c>
      <c r="E9" s="639">
        <f>A2.7.8!E9/A2.7.8!E$29</f>
        <v>3.0387249332063999E-2</v>
      </c>
      <c r="F9" s="640">
        <f>A2.7.8!F9/A2.7.8!F$29</f>
        <v>1.9341422752561618E-2</v>
      </c>
      <c r="G9" s="639">
        <f>A2.7.8!G9/A2.7.8!G$29</f>
        <v>2.3737210177591443E-2</v>
      </c>
      <c r="H9" s="640">
        <f>A2.7.8!H9/A2.7.8!H$29</f>
        <v>1.5429321460313622E-2</v>
      </c>
      <c r="I9" s="639">
        <f>A2.7.8!I9/A2.7.8!I$29</f>
        <v>2.4661570653798523E-2</v>
      </c>
      <c r="J9" s="640">
        <f>A2.7.8!J9/A2.7.8!J$29</f>
        <v>1.2686565057753937E-2</v>
      </c>
      <c r="K9" s="639">
        <f>A2.7.8!K9/A2.7.8!K$29</f>
        <v>1.9822720056447345E-2</v>
      </c>
      <c r="L9" s="640">
        <f>A2.7.8!L9/A2.7.8!L$29</f>
        <v>1.0552910736528294E-2</v>
      </c>
    </row>
    <row r="10" spans="1:12" s="50" customFormat="1" ht="13.35" customHeight="1" x14ac:dyDescent="0.2">
      <c r="B10" s="145"/>
      <c r="C10" s="16" t="s">
        <v>24</v>
      </c>
      <c r="D10" s="338" t="s">
        <v>48</v>
      </c>
      <c r="E10" s="639">
        <f>A2.7.8!E10/A2.7.8!E$29</f>
        <v>3.2037895771274146E-2</v>
      </c>
      <c r="F10" s="640">
        <f>A2.7.8!F10/A2.7.8!F$29</f>
        <v>1.8308391615841052E-2</v>
      </c>
      <c r="G10" s="639">
        <f>A2.7.8!G10/A2.7.8!G$29</f>
        <v>3.5334482849165433E-2</v>
      </c>
      <c r="H10" s="640">
        <f>A2.7.8!H10/A2.7.8!H$29</f>
        <v>2.2924317527241781E-2</v>
      </c>
      <c r="I10" s="639">
        <f>A2.7.8!I10/A2.7.8!I$29</f>
        <v>4.3985139001580048E-2</v>
      </c>
      <c r="J10" s="640">
        <f>A2.7.8!J10/A2.7.8!J$29</f>
        <v>2.1333182670634401E-2</v>
      </c>
      <c r="K10" s="639">
        <f>A2.7.8!K10/A2.7.8!K$29</f>
        <v>3.7109719527253483E-2</v>
      </c>
      <c r="L10" s="640">
        <f>A2.7.8!L10/A2.7.8!L$29</f>
        <v>1.8105479137332701E-2</v>
      </c>
    </row>
    <row r="11" spans="1:12" s="1" customFormat="1" ht="13.35" customHeight="1" x14ac:dyDescent="0.2">
      <c r="B11" s="631"/>
      <c r="C11" s="16" t="s">
        <v>25</v>
      </c>
      <c r="D11" s="338" t="s">
        <v>49</v>
      </c>
      <c r="E11" s="639">
        <f>A2.7.8!E11/A2.7.8!E$29</f>
        <v>3.2460154162699997E-2</v>
      </c>
      <c r="F11" s="640">
        <f>A2.7.8!F11/A2.7.8!F$29</f>
        <v>1.9538029413668678E-2</v>
      </c>
      <c r="G11" s="639">
        <f>A2.7.8!G11/A2.7.8!G$29</f>
        <v>3.360145644239438E-2</v>
      </c>
      <c r="H11" s="640">
        <f>A2.7.8!H11/A2.7.8!H$29</f>
        <v>1.9508207480998845E-2</v>
      </c>
      <c r="I11" s="639">
        <f>A2.7.8!I11/A2.7.8!I$29</f>
        <v>4.1038561728658669E-2</v>
      </c>
      <c r="J11" s="640">
        <f>A2.7.8!J11/A2.7.8!J$29</f>
        <v>2.0620368636576826E-2</v>
      </c>
      <c r="K11" s="639">
        <f>A2.7.8!K11/A2.7.8!K$29</f>
        <v>4.0814076556711945E-2</v>
      </c>
      <c r="L11" s="640">
        <f>A2.7.8!L11/A2.7.8!L$29</f>
        <v>2.1104367218840792E-2</v>
      </c>
    </row>
    <row r="12" spans="1:12" s="1" customFormat="1" ht="13.35" customHeight="1" x14ac:dyDescent="0.2">
      <c r="B12" s="631"/>
      <c r="C12" s="16" t="s">
        <v>26</v>
      </c>
      <c r="D12" s="338" t="s">
        <v>50</v>
      </c>
      <c r="E12" s="639">
        <f>A2.7.8!E12/A2.7.8!E$29</f>
        <v>3.4026348923624973E-2</v>
      </c>
      <c r="F12" s="640">
        <f>A2.7.8!F12/A2.7.8!F$29</f>
        <v>2.2329317646449305E-2</v>
      </c>
      <c r="G12" s="639">
        <f>A2.7.8!G12/A2.7.8!G$29</f>
        <v>3.2507374114887397E-2</v>
      </c>
      <c r="H12" s="640">
        <f>A2.7.8!H12/A2.7.8!H$29</f>
        <v>1.9578962381091396E-2</v>
      </c>
      <c r="I12" s="639">
        <f>A2.7.8!I12/A2.7.8!I$29</f>
        <v>3.5850023487210149E-2</v>
      </c>
      <c r="J12" s="640">
        <f>A2.7.8!J12/A2.7.8!J$29</f>
        <v>1.8198554976047363E-2</v>
      </c>
      <c r="K12" s="639">
        <f>A2.7.8!K12/A2.7.8!K$29</f>
        <v>3.8146057505732932E-2</v>
      </c>
      <c r="L12" s="640">
        <f>A2.7.8!L12/A2.7.8!L$29</f>
        <v>2.0056829591523273E-2</v>
      </c>
    </row>
    <row r="13" spans="1:12" s="1" customFormat="1" ht="13.35" customHeight="1" x14ac:dyDescent="0.2">
      <c r="B13" s="631"/>
      <c r="C13" s="16" t="s">
        <v>27</v>
      </c>
      <c r="D13" s="338" t="s">
        <v>51</v>
      </c>
      <c r="E13" s="639">
        <f>A2.7.8!E13/A2.7.8!E$29</f>
        <v>3.4156865153702053E-2</v>
      </c>
      <c r="F13" s="640">
        <f>A2.7.8!F13/A2.7.8!F$29</f>
        <v>2.0662481011899624E-2</v>
      </c>
      <c r="G13" s="639">
        <f>A2.7.8!G13/A2.7.8!G$29</f>
        <v>3.2279804990765944E-2</v>
      </c>
      <c r="H13" s="640">
        <f>A2.7.8!H13/A2.7.8!H$29</f>
        <v>1.9118624917658651E-2</v>
      </c>
      <c r="I13" s="639">
        <f>A2.7.8!I13/A2.7.8!I$29</f>
        <v>3.3629414527907076E-2</v>
      </c>
      <c r="J13" s="640">
        <f>A2.7.8!J13/A2.7.8!J$29</f>
        <v>1.8079270853114171E-2</v>
      </c>
      <c r="K13" s="639">
        <f>A2.7.8!K13/A2.7.8!K$29</f>
        <v>3.6690774387017108E-2</v>
      </c>
      <c r="L13" s="640">
        <f>A2.7.8!L13/A2.7.8!L$29</f>
        <v>2.0630721918189182E-2</v>
      </c>
    </row>
    <row r="14" spans="1:12" s="1" customFormat="1" ht="13.35" customHeight="1" x14ac:dyDescent="0.2">
      <c r="B14" s="631"/>
      <c r="C14" s="16" t="s">
        <v>28</v>
      </c>
      <c r="D14" s="338" t="s">
        <v>52</v>
      </c>
      <c r="E14" s="639">
        <f>A2.7.8!E14/A2.7.8!E$29</f>
        <v>3.5147253017228146E-2</v>
      </c>
      <c r="F14" s="640">
        <f>A2.7.8!F14/A2.7.8!F$29</f>
        <v>2.1883276682654149E-2</v>
      </c>
      <c r="G14" s="639">
        <f>A2.7.8!G14/A2.7.8!G$29</f>
        <v>3.1597097618401591E-2</v>
      </c>
      <c r="H14" s="640">
        <f>A2.7.8!H14/A2.7.8!H$29</f>
        <v>1.8845585132956102E-2</v>
      </c>
      <c r="I14" s="639">
        <f>A2.7.8!I14/A2.7.8!I$29</f>
        <v>3.2262885937566724E-2</v>
      </c>
      <c r="J14" s="640">
        <f>A2.7.8!J14/A2.7.8!J$29</f>
        <v>1.810071003608282E-2</v>
      </c>
      <c r="K14" s="639">
        <f>A2.7.8!K14/A2.7.8!K$29</f>
        <v>3.3339213265126122E-2</v>
      </c>
      <c r="L14" s="640">
        <f>A2.7.8!L14/A2.7.8!L$29</f>
        <v>1.8156051480795177E-2</v>
      </c>
    </row>
    <row r="15" spans="1:12" customFormat="1" ht="13.35" customHeight="1" x14ac:dyDescent="0.2">
      <c r="A15" s="1"/>
      <c r="B15" s="631"/>
      <c r="C15" s="16" t="s">
        <v>29</v>
      </c>
      <c r="D15" s="338" t="s">
        <v>53</v>
      </c>
      <c r="E15" s="639">
        <f>A2.7.8!E15/A2.7.8!E$29</f>
        <v>3.5838221294106812E-2</v>
      </c>
      <c r="F15" s="640">
        <f>A2.7.8!F15/A2.7.8!F$29</f>
        <v>2.3860358906740604E-2</v>
      </c>
      <c r="G15" s="639">
        <f>A2.7.8!G15/A2.7.8!G$29</f>
        <v>3.1036927466718017E-2</v>
      </c>
      <c r="H15" s="640">
        <f>A2.7.8!H15/A2.7.8!H$29</f>
        <v>1.8994185348730954E-2</v>
      </c>
      <c r="I15" s="639">
        <f>A2.7.8!I15/A2.7.8!I$29</f>
        <v>3.0170389033608063E-2</v>
      </c>
      <c r="J15" s="640">
        <f>A2.7.8!J15/A2.7.8!J$29</f>
        <v>1.7110849218677952E-2</v>
      </c>
      <c r="K15" s="639">
        <f>A2.7.8!K15/A2.7.8!K$29</f>
        <v>3.0538895748809313E-2</v>
      </c>
      <c r="L15" s="640">
        <f>A2.7.8!L15/A2.7.8!L$29</f>
        <v>1.6979524262104459E-2</v>
      </c>
    </row>
    <row r="16" spans="1:12" customFormat="1" ht="13.35" customHeight="1" x14ac:dyDescent="0.2">
      <c r="A16" s="1"/>
      <c r="B16" s="631"/>
      <c r="C16" s="16" t="s">
        <v>30</v>
      </c>
      <c r="D16" s="338" t="s">
        <v>54</v>
      </c>
      <c r="E16" s="639">
        <f>A2.7.8!E16/A2.7.8!E$29</f>
        <v>3.2375702484414827E-2</v>
      </c>
      <c r="F16" s="640">
        <f>A2.7.8!F16/A2.7.8!F$29</f>
        <v>2.0465535197486701E-2</v>
      </c>
      <c r="G16" s="639">
        <f>A2.7.8!G16/A2.7.8!G$29</f>
        <v>3.02666935081531E-2</v>
      </c>
      <c r="H16" s="640">
        <f>A2.7.8!H16/A2.7.8!H$29</f>
        <v>1.8755930907773735E-2</v>
      </c>
      <c r="I16" s="639">
        <f>A2.7.8!I16/A2.7.8!I$29</f>
        <v>2.8526284323354828E-2</v>
      </c>
      <c r="J16" s="640">
        <f>A2.7.8!J16/A2.7.8!J$29</f>
        <v>1.6159826418806988E-2</v>
      </c>
      <c r="K16" s="639">
        <f>A2.7.8!K16/A2.7.8!K$29</f>
        <v>3.100194037749162E-2</v>
      </c>
      <c r="L16" s="640">
        <f>A2.7.8!L16/A2.7.8!L$29</f>
        <v>1.7763984108811224E-2</v>
      </c>
    </row>
    <row r="17" spans="1:12" customFormat="1" ht="13.35" customHeight="1" x14ac:dyDescent="0.2">
      <c r="A17" s="1"/>
      <c r="B17" s="631"/>
      <c r="C17" s="16" t="s">
        <v>31</v>
      </c>
      <c r="D17" s="338" t="s">
        <v>55</v>
      </c>
      <c r="E17" s="639">
        <f>A2.7.8!E17/A2.7.8!E$29</f>
        <v>3.4855510855879374E-2</v>
      </c>
      <c r="F17" s="640">
        <f>A2.7.8!F17/A2.7.8!F$29</f>
        <v>2.1721316651448871E-2</v>
      </c>
      <c r="G17" s="639">
        <f>A2.7.8!G17/A2.7.8!G$29</f>
        <v>3.0538025925374832E-2</v>
      </c>
      <c r="H17" s="640">
        <f>A2.7.8!H17/A2.7.8!H$29</f>
        <v>1.9273031905394641E-2</v>
      </c>
      <c r="I17" s="639">
        <f>A2.7.8!I17/A2.7.8!I$29</f>
        <v>2.8633044369475169E-2</v>
      </c>
      <c r="J17" s="640">
        <f>A2.7.8!J17/A2.7.8!J$29</f>
        <v>1.7196466306378107E-2</v>
      </c>
      <c r="K17" s="639">
        <f>A2.7.8!K17/A2.7.8!K$29</f>
        <v>2.7473981301816899E-2</v>
      </c>
      <c r="L17" s="640">
        <f>A2.7.8!L17/A2.7.8!L$29</f>
        <v>1.611750201352799E-2</v>
      </c>
    </row>
    <row r="18" spans="1:12" customFormat="1" ht="13.35" customHeight="1" x14ac:dyDescent="0.2">
      <c r="A18" s="1"/>
      <c r="B18" s="631"/>
      <c r="C18" s="16" t="s">
        <v>32</v>
      </c>
      <c r="D18" s="338" t="s">
        <v>56</v>
      </c>
      <c r="E18" s="639">
        <f>A2.7.8!E18/A2.7.8!E$29</f>
        <v>3.3074348186592148E-2</v>
      </c>
      <c r="F18" s="640">
        <f>A2.7.8!F18/A2.7.8!F$29</f>
        <v>2.0222923607309203E-2</v>
      </c>
      <c r="G18" s="639">
        <f>A2.7.8!G18/A2.7.8!G$29</f>
        <v>3.0686821121915783E-2</v>
      </c>
      <c r="H18" s="640">
        <f>A2.7.8!H18/A2.7.8!H$29</f>
        <v>1.906279603512177E-2</v>
      </c>
      <c r="I18" s="639">
        <f>A2.7.8!I18/A2.7.8!I$29</f>
        <v>2.5835931161122261E-2</v>
      </c>
      <c r="J18" s="640">
        <f>A2.7.8!J18/A2.7.8!J$29</f>
        <v>1.5795606759568624E-2</v>
      </c>
      <c r="K18" s="639">
        <f>A2.7.8!K18/A2.7.8!K$29</f>
        <v>2.7496031046039867E-2</v>
      </c>
      <c r="L18" s="640">
        <f>A2.7.8!L18/A2.7.8!L$29</f>
        <v>1.5883145028003441E-2</v>
      </c>
    </row>
    <row r="19" spans="1:12" customFormat="1" ht="13.35" customHeight="1" x14ac:dyDescent="0.2">
      <c r="A19" s="1"/>
      <c r="B19" s="631"/>
      <c r="C19" s="16" t="s">
        <v>33</v>
      </c>
      <c r="D19" s="338" t="s">
        <v>57</v>
      </c>
      <c r="E19" s="639">
        <f>A2.7.8!E19/A2.7.8!E$29</f>
        <v>3.0586862389828946E-2</v>
      </c>
      <c r="F19" s="640">
        <f>A2.7.8!F19/A2.7.8!F$29</f>
        <v>1.8878746397621729E-2</v>
      </c>
      <c r="G19" s="639">
        <f>A2.7.8!G19/A2.7.8!G$29</f>
        <v>3.1063185442578183E-2</v>
      </c>
      <c r="H19" s="640">
        <f>A2.7.8!H19/A2.7.8!H$29</f>
        <v>1.8661111295385089E-2</v>
      </c>
      <c r="I19" s="639">
        <f>A2.7.8!I19/A2.7.8!I$29</f>
        <v>2.5451594995089036E-2</v>
      </c>
      <c r="J19" s="640">
        <f>A2.7.8!J19/A2.7.8!J$29</f>
        <v>1.5751640620817103E-2</v>
      </c>
      <c r="K19" s="639">
        <f>A2.7.8!K19/A2.7.8!K$29</f>
        <v>2.6790439230904923E-2</v>
      </c>
      <c r="L19" s="640">
        <f>A2.7.8!L19/A2.7.8!L$29</f>
        <v>1.6028819356367442E-2</v>
      </c>
    </row>
    <row r="20" spans="1:12" customFormat="1" ht="13.35" customHeight="1" x14ac:dyDescent="0.2">
      <c r="A20" s="1"/>
      <c r="B20" s="631"/>
      <c r="C20" s="16" t="s">
        <v>34</v>
      </c>
      <c r="D20" s="338" t="s">
        <v>58</v>
      </c>
      <c r="E20" s="639">
        <f>A2.7.8!E20/A2.7.8!E$29</f>
        <v>0.12630900101342013</v>
      </c>
      <c r="F20" s="640">
        <f>A2.7.8!F20/A2.7.8!F$29</f>
        <v>8.5514305509600944E-2</v>
      </c>
      <c r="G20" s="639">
        <f>A2.7.8!G20/A2.7.8!G$29</f>
        <v>0.13247148821454516</v>
      </c>
      <c r="H20" s="640">
        <f>A2.7.8!H20/A2.7.8!H$29</f>
        <v>8.7736608234655081E-2</v>
      </c>
      <c r="I20" s="639">
        <f>A2.7.8!I20/A2.7.8!I$29</f>
        <v>0.11638980228039458</v>
      </c>
      <c r="J20" s="640">
        <f>A2.7.8!J20/A2.7.8!J$29</f>
        <v>7.5547500097628228E-2</v>
      </c>
      <c r="K20" s="639">
        <f>A2.7.8!K20/A2.7.8!K$29</f>
        <v>0.11163785500088198</v>
      </c>
      <c r="L20" s="640">
        <f>A2.7.8!L20/A2.7.8!L$29</f>
        <v>7.3870456431382778E-2</v>
      </c>
    </row>
    <row r="21" spans="1:12" customFormat="1" ht="13.35" customHeight="1" x14ac:dyDescent="0.2">
      <c r="A21" s="1"/>
      <c r="B21" s="631"/>
      <c r="C21" s="16" t="s">
        <v>35</v>
      </c>
      <c r="D21" s="338" t="s">
        <v>59</v>
      </c>
      <c r="E21" s="639">
        <f>A2.7.8!E21/A2.7.8!E$29</f>
        <v>0.16045818874182355</v>
      </c>
      <c r="F21" s="640">
        <f>A2.7.8!F21/A2.7.8!F$29</f>
        <v>0.13378739611022764</v>
      </c>
      <c r="G21" s="639">
        <f>A2.7.8!G21/A2.7.8!G$29</f>
        <v>0.16935519163946047</v>
      </c>
      <c r="H21" s="640">
        <f>A2.7.8!H21/A2.7.8!H$29</f>
        <v>0.13556400070298044</v>
      </c>
      <c r="I21" s="639">
        <f>A2.7.8!I21/A2.7.8!I$29</f>
        <v>0.16357774266558484</v>
      </c>
      <c r="J21" s="640">
        <f>A2.7.8!J21/A2.7.8!J$29</f>
        <v>0.12833746388242556</v>
      </c>
      <c r="K21" s="639">
        <f>A2.7.8!K21/A2.7.8!K$29</f>
        <v>0.1663873699065091</v>
      </c>
      <c r="L21" s="640">
        <f>A2.7.8!L21/A2.7.8!L$29</f>
        <v>0.13335914126593346</v>
      </c>
    </row>
    <row r="22" spans="1:12" customFormat="1" ht="13.35" customHeight="1" x14ac:dyDescent="0.2">
      <c r="A22" s="1"/>
      <c r="B22" s="631"/>
      <c r="C22" s="16" t="s">
        <v>36</v>
      </c>
      <c r="D22" s="338" t="s">
        <v>60</v>
      </c>
      <c r="E22" s="639">
        <f>A2.7.8!E22/A2.7.8!E$29</f>
        <v>9.3871879126616098E-2</v>
      </c>
      <c r="F22" s="640">
        <f>A2.7.8!F22/A2.7.8!F$29</f>
        <v>9.416841760906855E-2</v>
      </c>
      <c r="G22" s="639">
        <f>A2.7.8!G22/A2.7.8!G$29</f>
        <v>9.7312058537780854E-2</v>
      </c>
      <c r="H22" s="640">
        <f>A2.7.8!H22/A2.7.8!H$29</f>
        <v>9.866205645394574E-2</v>
      </c>
      <c r="I22" s="639">
        <f>A2.7.8!I22/A2.7.8!I$29</f>
        <v>0.10345048469060938</v>
      </c>
      <c r="J22" s="640">
        <f>A2.7.8!J22/A2.7.8!J$29</f>
        <v>0.10527036132195275</v>
      </c>
      <c r="K22" s="639">
        <f>A2.7.8!K22/A2.7.8!K$29</f>
        <v>0.10493473275710002</v>
      </c>
      <c r="L22" s="640">
        <f>A2.7.8!L22/A2.7.8!L$29</f>
        <v>0.1027815255151034</v>
      </c>
    </row>
    <row r="23" spans="1:12" customFormat="1" ht="13.35" customHeight="1" x14ac:dyDescent="0.2">
      <c r="A23" s="1"/>
      <c r="B23" s="631"/>
      <c r="C23" s="16" t="s">
        <v>37</v>
      </c>
      <c r="D23" s="338" t="s">
        <v>61</v>
      </c>
      <c r="E23" s="639">
        <f>A2.7.8!E23/A2.7.8!E$29</f>
        <v>5.9177594202008417E-2</v>
      </c>
      <c r="F23" s="640">
        <f>A2.7.8!F23/A2.7.8!F$29</f>
        <v>7.6895122864059279E-2</v>
      </c>
      <c r="G23" s="639">
        <f>A2.7.8!G23/A2.7.8!G$29</f>
        <v>6.2677788378219884E-2</v>
      </c>
      <c r="H23" s="640">
        <f>A2.7.8!H23/A2.7.8!H$29</f>
        <v>7.741230798384921E-2</v>
      </c>
      <c r="I23" s="639">
        <f>A2.7.8!I23/A2.7.8!I$29</f>
        <v>6.4504419865909379E-2</v>
      </c>
      <c r="J23" s="640">
        <f>A2.7.8!J23/A2.7.8!J$29</f>
        <v>8.5738204134396825E-2</v>
      </c>
      <c r="K23" s="639">
        <f>A2.7.8!K23/A2.7.8!K$29</f>
        <v>6.6943023460927856E-2</v>
      </c>
      <c r="L23" s="640">
        <f>A2.7.8!L23/A2.7.8!L$29</f>
        <v>8.32326584307512E-2</v>
      </c>
    </row>
    <row r="24" spans="1:12" customFormat="1" ht="13.35" customHeight="1" x14ac:dyDescent="0.2">
      <c r="A24" s="1"/>
      <c r="B24" s="631"/>
      <c r="C24" s="16" t="s">
        <v>38</v>
      </c>
      <c r="D24" s="338" t="s">
        <v>62</v>
      </c>
      <c r="E24" s="639">
        <f>A2.7.8!E24/A2.7.8!E$29</f>
        <v>6.8950956607192207E-2</v>
      </c>
      <c r="F24" s="640">
        <f>A2.7.8!F24/A2.7.8!F$29</f>
        <v>0.11415077965876953</v>
      </c>
      <c r="G24" s="639">
        <f>A2.7.8!G24/A2.7.8!G$29</f>
        <v>7.4301319025654039E-2</v>
      </c>
      <c r="H24" s="640">
        <f>A2.7.8!H24/A2.7.8!H$29</f>
        <v>0.11864247018502318</v>
      </c>
      <c r="I24" s="639">
        <f>A2.7.8!I24/A2.7.8!I$29</f>
        <v>7.9749754451893917E-2</v>
      </c>
      <c r="J24" s="640">
        <f>A2.7.8!J24/A2.7.8!J$29</f>
        <v>0.14299153827715019</v>
      </c>
      <c r="K24" s="639">
        <f>A2.7.8!K24/A2.7.8!K$29</f>
        <v>8.4274122420179925E-2</v>
      </c>
      <c r="L24" s="640">
        <f>A2.7.8!L24/A2.7.8!L$29</f>
        <v>0.14390430287389716</v>
      </c>
    </row>
    <row r="25" spans="1:12" customFormat="1" ht="13.35" customHeight="1" x14ac:dyDescent="0.2">
      <c r="A25" s="1"/>
      <c r="B25" s="631"/>
      <c r="C25" s="16" t="s">
        <v>39</v>
      </c>
      <c r="D25" s="338" t="s">
        <v>63</v>
      </c>
      <c r="E25" s="639">
        <f>A2.7.8!E25/A2.7.8!E$29</f>
        <v>2.6487117280348863E-2</v>
      </c>
      <c r="F25" s="640">
        <f>A2.7.8!F25/A2.7.8!F$29</f>
        <v>6.162752915108826E-2</v>
      </c>
      <c r="G25" s="639">
        <f>A2.7.8!G25/A2.7.8!G$29</f>
        <v>2.6940683232531883E-2</v>
      </c>
      <c r="H25" s="640">
        <f>A2.7.8!H25/A2.7.8!H$29</f>
        <v>5.9089074462314636E-2</v>
      </c>
      <c r="I25" s="639">
        <f>A2.7.8!I25/A2.7.8!I$29</f>
        <v>3.0341205107400605E-2</v>
      </c>
      <c r="J25" s="640">
        <f>A2.7.8!J25/A2.7.8!J$29</f>
        <v>8.0005347943270036E-2</v>
      </c>
      <c r="K25" s="639">
        <f>A2.7.8!K25/A2.7.8!K$29</f>
        <v>3.3758158405362497E-2</v>
      </c>
      <c r="L25" s="640">
        <f>A2.7.8!L25/A2.7.8!L$29</f>
        <v>7.8760931214488586E-2</v>
      </c>
    </row>
    <row r="26" spans="1:12" customFormat="1" ht="13.35" customHeight="1" x14ac:dyDescent="0.2">
      <c r="A26" s="1"/>
      <c r="B26" s="631"/>
      <c r="C26" s="16" t="s">
        <v>40</v>
      </c>
      <c r="D26" s="338" t="s">
        <v>64</v>
      </c>
      <c r="E26" s="639">
        <f>A2.7.8!E26/A2.7.8!E$29</f>
        <v>2.5542793968614686E-2</v>
      </c>
      <c r="F26" s="640">
        <f>A2.7.8!F26/A2.7.8!F$29</f>
        <v>7.798914781805355E-2</v>
      </c>
      <c r="G26" s="639">
        <f>A2.7.8!G26/A2.7.8!G$29</f>
        <v>2.6485544984288976E-2</v>
      </c>
      <c r="H26" s="640">
        <f>A2.7.8!H26/A2.7.8!H$29</f>
        <v>7.9084713815206292E-2</v>
      </c>
      <c r="I26" s="639">
        <f>A2.7.8!I26/A2.7.8!I$29</f>
        <v>2.743733185292736E-2</v>
      </c>
      <c r="J26" s="640">
        <f>A2.7.8!J26/A2.7.8!J$29</f>
        <v>0.10703153463896319</v>
      </c>
      <c r="K26" s="639">
        <f>A2.7.8!K26/A2.7.8!K$29</f>
        <v>3.0693243958370083E-2</v>
      </c>
      <c r="L26" s="640">
        <f>A2.7.8!L26/A2.7.8!L$29</f>
        <v>0.10867819980606427</v>
      </c>
    </row>
    <row r="27" spans="1:12" customFormat="1" ht="13.35" customHeight="1" x14ac:dyDescent="0.2">
      <c r="A27" s="1"/>
      <c r="B27" s="631"/>
      <c r="C27" s="16" t="s">
        <v>41</v>
      </c>
      <c r="D27" s="338" t="s">
        <v>65</v>
      </c>
      <c r="E27" s="639">
        <f>A2.7.8!E27/A2.7.8!E$29</f>
        <v>7.3472960108098145E-3</v>
      </c>
      <c r="F27" s="640">
        <f>A2.7.8!F27/A2.7.8!F$29</f>
        <v>3.4360277152344583E-2</v>
      </c>
      <c r="G27" s="639">
        <f>A2.7.8!G27/A2.7.8!G$29</f>
        <v>7.2647066546463485E-3</v>
      </c>
      <c r="H27" s="640">
        <f>A2.7.8!H27/A2.7.8!H$29</f>
        <v>4.309247364504807E-2</v>
      </c>
      <c r="I27" s="639">
        <f>A2.7.8!I27/A2.7.8!I$29</f>
        <v>5.5301703890336083E-3</v>
      </c>
      <c r="J27" s="640">
        <f>A2.7.8!J27/A2.7.8!J$29</f>
        <v>3.1454315910568686E-2</v>
      </c>
      <c r="K27" s="639">
        <f>A2.7.8!K27/A2.7.8!K$29</f>
        <v>7.0779678955724115E-3</v>
      </c>
      <c r="L27" s="640">
        <f>A2.7.8!L27/A2.7.8!L$29</f>
        <v>4.4111584715532039E-2</v>
      </c>
    </row>
    <row r="28" spans="1:12" customFormat="1" ht="13.35" customHeight="1" x14ac:dyDescent="0.2">
      <c r="A28" s="1"/>
      <c r="B28" s="632"/>
      <c r="C28" s="280" t="s">
        <v>42</v>
      </c>
      <c r="D28" s="434" t="s">
        <v>66</v>
      </c>
      <c r="E28" s="641">
        <f>A2.7.8!E28/A2.7.8!E$29</f>
        <v>1.5969044621195836E-3</v>
      </c>
      <c r="F28" s="642">
        <f>A2.7.8!F28/A2.7.8!F$29</f>
        <v>1.4870766092072061E-2</v>
      </c>
      <c r="G28" s="641">
        <f>A2.7.8!G28/A2.7.8!G$29</f>
        <v>1.3391567688685439E-3</v>
      </c>
      <c r="H28" s="642">
        <f>A2.7.8!H28/A2.7.8!H$29</f>
        <v>2.5001042911279064E-2</v>
      </c>
      <c r="I28" s="641">
        <f>A2.7.8!I28/A2.7.8!I$29</f>
        <v>5.3380023060169959E-4</v>
      </c>
      <c r="J28" s="642">
        <f>A2.7.8!J28/A2.7.8!J$29</f>
        <v>4.9944433751026645E-3</v>
      </c>
      <c r="K28" s="641">
        <f>A2.7.8!K28/A2.7.8!K$29</f>
        <v>6.1739283824307643E-4</v>
      </c>
      <c r="L28" s="642">
        <f>A2.7.8!L28/A2.7.8!L$29</f>
        <v>3.9297519235519038E-3</v>
      </c>
    </row>
    <row r="29" spans="1:12" customFormat="1" ht="13.35" customHeight="1" x14ac:dyDescent="0.2">
      <c r="A29" s="1"/>
      <c r="B29" s="632"/>
      <c r="C29" s="635" t="s">
        <v>8</v>
      </c>
      <c r="D29" s="636"/>
      <c r="E29" s="643">
        <f>A2.7.8!E29/A2.7.8!E$29</f>
        <v>1</v>
      </c>
      <c r="F29" s="644">
        <f>A2.7.8!F29/A2.7.8!F$29</f>
        <v>1</v>
      </c>
      <c r="G29" s="643">
        <f>A2.7.8!G29/A2.7.8!G$29</f>
        <v>1</v>
      </c>
      <c r="H29" s="644">
        <f>A2.7.8!H29/A2.7.8!H$29</f>
        <v>1</v>
      </c>
      <c r="I29" s="643">
        <f>A2.7.8!I29/A2.7.8!I$29</f>
        <v>1</v>
      </c>
      <c r="J29" s="644">
        <f>A2.7.8!J29/A2.7.8!J$29</f>
        <v>1</v>
      </c>
      <c r="K29" s="643">
        <f>A2.7.8!K29/A2.7.8!K$29</f>
        <v>1</v>
      </c>
      <c r="L29" s="644">
        <f>A2.7.8!L29/A2.7.8!L$29</f>
        <v>1</v>
      </c>
    </row>
    <row r="30" spans="1:12" s="1" customFormat="1" ht="13.35" customHeight="1" x14ac:dyDescent="0.2"/>
    <row r="31" spans="1:12" s="1" customFormat="1" ht="13.35" customHeight="1" x14ac:dyDescent="0.2"/>
    <row r="32" spans="1:12" x14ac:dyDescent="0.2">
      <c r="G32" s="352" t="s">
        <v>371</v>
      </c>
    </row>
    <row r="33" spans="1:1" x14ac:dyDescent="0.2">
      <c r="A33" s="10"/>
    </row>
    <row r="34" spans="1:1" x14ac:dyDescent="0.2">
      <c r="A34" s="10"/>
    </row>
  </sheetData>
  <mergeCells count="2">
    <mergeCell ref="C3:D3"/>
    <mergeCell ref="K2:L2"/>
  </mergeCells>
  <phoneticPr fontId="10" type="noConversion"/>
  <hyperlinks>
    <hyperlink ref="G32"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L36"/>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530</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469</v>
      </c>
      <c r="D3" s="1043"/>
      <c r="E3" s="742" t="s">
        <v>17</v>
      </c>
      <c r="F3" s="743" t="s">
        <v>104</v>
      </c>
      <c r="G3" s="742" t="s">
        <v>17</v>
      </c>
      <c r="H3" s="743" t="s">
        <v>104</v>
      </c>
      <c r="I3" s="742" t="s">
        <v>17</v>
      </c>
      <c r="J3" s="743" t="s">
        <v>104</v>
      </c>
      <c r="K3" s="742" t="s">
        <v>17</v>
      </c>
      <c r="L3" s="743" t="s">
        <v>104</v>
      </c>
    </row>
    <row r="4" spans="1:12" ht="13.35" customHeight="1" x14ac:dyDescent="0.2">
      <c r="B4" s="145"/>
      <c r="C4" s="16" t="s">
        <v>18</v>
      </c>
      <c r="D4" s="338" t="s">
        <v>470</v>
      </c>
      <c r="E4" s="654">
        <v>352574</v>
      </c>
      <c r="F4" s="655">
        <v>1161.268208</v>
      </c>
      <c r="G4" s="654">
        <v>330088</v>
      </c>
      <c r="H4" s="655">
        <v>1123.7871729999999</v>
      </c>
      <c r="I4" s="654">
        <v>305946</v>
      </c>
      <c r="J4" s="655">
        <v>1033.6196090000001</v>
      </c>
      <c r="K4" s="654">
        <v>237187</v>
      </c>
      <c r="L4" s="655">
        <v>756.41895099999999</v>
      </c>
    </row>
    <row r="5" spans="1:12" ht="13.35" customHeight="1" x14ac:dyDescent="0.2">
      <c r="B5" s="145"/>
      <c r="C5" s="16" t="s">
        <v>19</v>
      </c>
      <c r="D5" s="338" t="s">
        <v>482</v>
      </c>
      <c r="E5" s="654">
        <v>772832</v>
      </c>
      <c r="F5" s="655">
        <v>5949.0070349999996</v>
      </c>
      <c r="G5" s="654">
        <v>689251</v>
      </c>
      <c r="H5" s="655">
        <v>5132.8633749999999</v>
      </c>
      <c r="I5" s="654">
        <v>644948</v>
      </c>
      <c r="J5" s="655">
        <v>4775.9244619999999</v>
      </c>
      <c r="K5" s="654">
        <v>662964</v>
      </c>
      <c r="L5" s="655">
        <v>4880.4682640000001</v>
      </c>
    </row>
    <row r="6" spans="1:12" ht="13.35" customHeight="1" x14ac:dyDescent="0.2">
      <c r="B6" s="145"/>
      <c r="C6" s="16" t="s">
        <v>20</v>
      </c>
      <c r="D6" s="338" t="s">
        <v>483</v>
      </c>
      <c r="E6" s="654">
        <v>466408</v>
      </c>
      <c r="F6" s="655">
        <v>5636.0129209999996</v>
      </c>
      <c r="G6" s="654">
        <v>601625</v>
      </c>
      <c r="H6" s="655">
        <v>7394.2651519999999</v>
      </c>
      <c r="I6" s="654">
        <v>593068</v>
      </c>
      <c r="J6" s="655">
        <v>7286.104523</v>
      </c>
      <c r="K6" s="654">
        <v>585928</v>
      </c>
      <c r="L6" s="655">
        <v>7352.6973829999997</v>
      </c>
    </row>
    <row r="7" spans="1:12" ht="13.35" customHeight="1" x14ac:dyDescent="0.2">
      <c r="B7" s="145"/>
      <c r="C7" s="16" t="s">
        <v>21</v>
      </c>
      <c r="D7" s="338" t="s">
        <v>455</v>
      </c>
      <c r="E7" s="654">
        <v>156531</v>
      </c>
      <c r="F7" s="655">
        <v>2682.2583300000001</v>
      </c>
      <c r="G7" s="654">
        <v>195154</v>
      </c>
      <c r="H7" s="655">
        <v>3347.605016</v>
      </c>
      <c r="I7" s="654">
        <v>287851</v>
      </c>
      <c r="J7" s="655">
        <v>4886.4007279999996</v>
      </c>
      <c r="K7" s="654">
        <v>305309</v>
      </c>
      <c r="L7" s="655">
        <v>5246.38094</v>
      </c>
    </row>
    <row r="8" spans="1:12" ht="13.35" customHeight="1" x14ac:dyDescent="0.2">
      <c r="B8" s="145"/>
      <c r="C8" s="16" t="s">
        <v>22</v>
      </c>
      <c r="D8" s="338" t="s">
        <v>472</v>
      </c>
      <c r="E8" s="654">
        <v>67990</v>
      </c>
      <c r="F8" s="655">
        <v>1509.914505</v>
      </c>
      <c r="G8" s="654">
        <v>94133</v>
      </c>
      <c r="H8" s="655">
        <v>2086.3319889999998</v>
      </c>
      <c r="I8" s="654">
        <v>108604</v>
      </c>
      <c r="J8" s="655">
        <v>2420.5860379999999</v>
      </c>
      <c r="K8" s="654">
        <v>132869</v>
      </c>
      <c r="L8" s="655">
        <v>2939.2588820000001</v>
      </c>
    </row>
    <row r="9" spans="1:12" ht="13.35" customHeight="1" x14ac:dyDescent="0.2">
      <c r="B9" s="145"/>
      <c r="C9" s="16" t="s">
        <v>23</v>
      </c>
      <c r="D9" s="338" t="s">
        <v>471</v>
      </c>
      <c r="E9" s="654">
        <v>37060</v>
      </c>
      <c r="F9" s="655">
        <v>1000.768644</v>
      </c>
      <c r="G9" s="654">
        <v>45526</v>
      </c>
      <c r="H9" s="655">
        <v>1242.922024</v>
      </c>
      <c r="I9" s="654">
        <v>58469</v>
      </c>
      <c r="J9" s="655">
        <v>1592.72865</v>
      </c>
      <c r="K9" s="654">
        <v>70903</v>
      </c>
      <c r="L9" s="655">
        <v>1928.1230599999999</v>
      </c>
    </row>
    <row r="10" spans="1:12" ht="13.35" customHeight="1" x14ac:dyDescent="0.2">
      <c r="B10" s="145"/>
      <c r="C10" s="16" t="s">
        <v>24</v>
      </c>
      <c r="D10" s="338" t="s">
        <v>473</v>
      </c>
      <c r="E10" s="654">
        <v>18634</v>
      </c>
      <c r="F10" s="655">
        <v>600.02840000000003</v>
      </c>
      <c r="G10" s="654">
        <v>23484</v>
      </c>
      <c r="H10" s="655">
        <v>758.37689399999999</v>
      </c>
      <c r="I10" s="654">
        <v>32629</v>
      </c>
      <c r="J10" s="655">
        <v>1050.0187069999999</v>
      </c>
      <c r="K10" s="654">
        <v>39289</v>
      </c>
      <c r="L10" s="655">
        <v>1268.9042629999999</v>
      </c>
    </row>
    <row r="11" spans="1:12" s="50" customFormat="1" ht="13.35" customHeight="1" x14ac:dyDescent="0.2">
      <c r="B11" s="145"/>
      <c r="C11" s="16" t="s">
        <v>25</v>
      </c>
      <c r="D11" s="338" t="s">
        <v>474</v>
      </c>
      <c r="E11" s="654">
        <v>11265</v>
      </c>
      <c r="F11" s="655">
        <v>419.66725100000002</v>
      </c>
      <c r="G11" s="654">
        <v>14559</v>
      </c>
      <c r="H11" s="655">
        <v>542.92514600000004</v>
      </c>
      <c r="I11" s="654">
        <v>18518</v>
      </c>
      <c r="J11" s="655">
        <v>690.72265300000004</v>
      </c>
      <c r="K11" s="654">
        <v>21560</v>
      </c>
      <c r="L11" s="655">
        <v>805.00282300000003</v>
      </c>
    </row>
    <row r="12" spans="1:12" s="1" customFormat="1" ht="13.35" customHeight="1" x14ac:dyDescent="0.2">
      <c r="B12" s="631"/>
      <c r="C12" s="16" t="s">
        <v>26</v>
      </c>
      <c r="D12" s="338" t="s">
        <v>481</v>
      </c>
      <c r="E12" s="654">
        <v>6785</v>
      </c>
      <c r="F12" s="655">
        <v>287.44577299999997</v>
      </c>
      <c r="G12" s="654">
        <v>9375</v>
      </c>
      <c r="H12" s="655">
        <v>396.18704600000001</v>
      </c>
      <c r="I12" s="654">
        <v>11057</v>
      </c>
      <c r="J12" s="655">
        <v>467.72898900000001</v>
      </c>
      <c r="K12" s="654">
        <v>13258</v>
      </c>
      <c r="L12" s="655">
        <v>560.338211</v>
      </c>
    </row>
    <row r="13" spans="1:12" s="1" customFormat="1" ht="13.35" customHeight="1" x14ac:dyDescent="0.2">
      <c r="B13" s="631"/>
      <c r="C13" s="16" t="s">
        <v>27</v>
      </c>
      <c r="D13" s="338" t="s">
        <v>475</v>
      </c>
      <c r="E13" s="654">
        <v>4386</v>
      </c>
      <c r="F13" s="655">
        <v>207.949727</v>
      </c>
      <c r="G13" s="654">
        <v>5992</v>
      </c>
      <c r="H13" s="655">
        <v>283.58061500000002</v>
      </c>
      <c r="I13" s="654">
        <v>7703</v>
      </c>
      <c r="J13" s="655">
        <v>365.91006599999997</v>
      </c>
      <c r="K13" s="654">
        <v>8585</v>
      </c>
      <c r="L13" s="655">
        <v>406.16322200000002</v>
      </c>
    </row>
    <row r="14" spans="1:12" s="1" customFormat="1" ht="13.35" customHeight="1" x14ac:dyDescent="0.2">
      <c r="B14" s="631"/>
      <c r="C14" s="16" t="s">
        <v>28</v>
      </c>
      <c r="D14" s="338" t="s">
        <v>48</v>
      </c>
      <c r="E14" s="654">
        <v>4898</v>
      </c>
      <c r="F14" s="655">
        <v>266.863428</v>
      </c>
      <c r="G14" s="654">
        <v>6740</v>
      </c>
      <c r="H14" s="655">
        <v>366.00595799999996</v>
      </c>
      <c r="I14" s="654">
        <v>8498</v>
      </c>
      <c r="J14" s="655">
        <v>463.06172300000003</v>
      </c>
      <c r="K14" s="654">
        <v>10340</v>
      </c>
      <c r="L14" s="655">
        <v>562.56744200000003</v>
      </c>
    </row>
    <row r="15" spans="1:12" s="1" customFormat="1" ht="13.35" customHeight="1" x14ac:dyDescent="0.2">
      <c r="B15" s="631"/>
      <c r="C15" s="16" t="s">
        <v>29</v>
      </c>
      <c r="D15" s="338" t="s">
        <v>49</v>
      </c>
      <c r="E15" s="654">
        <v>2467</v>
      </c>
      <c r="F15" s="655">
        <v>159.004514</v>
      </c>
      <c r="G15" s="654">
        <v>3309</v>
      </c>
      <c r="H15" s="655">
        <v>213.31924599999999</v>
      </c>
      <c r="I15" s="654">
        <v>4517</v>
      </c>
      <c r="J15" s="655">
        <v>291.27696100000003</v>
      </c>
      <c r="K15" s="654">
        <v>5270</v>
      </c>
      <c r="L15" s="655">
        <v>340.86575000000005</v>
      </c>
    </row>
    <row r="16" spans="1:12" customFormat="1" ht="13.35" customHeight="1" x14ac:dyDescent="0.2">
      <c r="A16" s="1"/>
      <c r="B16" s="631"/>
      <c r="C16" s="16" t="s">
        <v>30</v>
      </c>
      <c r="D16" s="338" t="s">
        <v>50</v>
      </c>
      <c r="E16" s="654">
        <v>1371</v>
      </c>
      <c r="F16" s="655">
        <v>101.885847</v>
      </c>
      <c r="G16" s="654">
        <v>1903</v>
      </c>
      <c r="H16" s="655">
        <v>141.82259500000001</v>
      </c>
      <c r="I16" s="654">
        <v>2361</v>
      </c>
      <c r="J16" s="655">
        <v>175.89452399999999</v>
      </c>
      <c r="K16" s="654">
        <v>3029</v>
      </c>
      <c r="L16" s="655">
        <v>225.11800499999998</v>
      </c>
    </row>
    <row r="17" spans="1:12" customFormat="1" ht="13.35" customHeight="1" x14ac:dyDescent="0.2">
      <c r="A17" s="1"/>
      <c r="B17" s="631"/>
      <c r="C17" s="16" t="s">
        <v>31</v>
      </c>
      <c r="D17" s="338" t="s">
        <v>51</v>
      </c>
      <c r="E17" s="654">
        <v>819</v>
      </c>
      <c r="F17" s="655">
        <v>69.168836999999996</v>
      </c>
      <c r="G17" s="654">
        <v>1032</v>
      </c>
      <c r="H17" s="655">
        <v>87.209420999999992</v>
      </c>
      <c r="I17" s="654">
        <v>1490</v>
      </c>
      <c r="J17" s="655">
        <v>125.90188700000002</v>
      </c>
      <c r="K17" s="654">
        <v>1761</v>
      </c>
      <c r="L17" s="655">
        <v>148.92885899999999</v>
      </c>
    </row>
    <row r="18" spans="1:12" customFormat="1" ht="13.35" customHeight="1" x14ac:dyDescent="0.2">
      <c r="A18" s="1"/>
      <c r="B18" s="631"/>
      <c r="C18" s="16" t="s">
        <v>32</v>
      </c>
      <c r="D18" s="338" t="s">
        <v>52</v>
      </c>
      <c r="E18" s="654">
        <v>560</v>
      </c>
      <c r="F18" s="655">
        <v>53.047547999999999</v>
      </c>
      <c r="G18" s="654">
        <v>701</v>
      </c>
      <c r="H18" s="655">
        <v>66.258963000000008</v>
      </c>
      <c r="I18" s="654">
        <v>875</v>
      </c>
      <c r="J18" s="655">
        <v>82.884372999999997</v>
      </c>
      <c r="K18" s="654">
        <v>1208</v>
      </c>
      <c r="L18" s="655">
        <v>114.14464799999999</v>
      </c>
    </row>
    <row r="19" spans="1:12" customFormat="1" ht="13.35" customHeight="1" x14ac:dyDescent="0.2">
      <c r="A19" s="1"/>
      <c r="B19" s="631"/>
      <c r="C19" s="16" t="s">
        <v>33</v>
      </c>
      <c r="D19" s="338" t="s">
        <v>476</v>
      </c>
      <c r="E19" s="654">
        <v>524</v>
      </c>
      <c r="F19" s="655">
        <v>56.653331999999999</v>
      </c>
      <c r="G19" s="654">
        <v>756</v>
      </c>
      <c r="H19" s="655">
        <v>81.822224000000006</v>
      </c>
      <c r="I19" s="654">
        <v>1005</v>
      </c>
      <c r="J19" s="655">
        <v>109.76722700000001</v>
      </c>
      <c r="K19" s="654">
        <v>1156</v>
      </c>
      <c r="L19" s="655">
        <v>126.333259</v>
      </c>
    </row>
    <row r="20" spans="1:12" customFormat="1" ht="13.35" customHeight="1" x14ac:dyDescent="0.2">
      <c r="A20" s="1"/>
      <c r="B20" s="631"/>
      <c r="C20" s="16" t="s">
        <v>34</v>
      </c>
      <c r="D20" s="338" t="s">
        <v>477</v>
      </c>
      <c r="E20" s="654">
        <v>224</v>
      </c>
      <c r="F20" s="655">
        <v>28.615197999999999</v>
      </c>
      <c r="G20" s="654">
        <v>299</v>
      </c>
      <c r="H20" s="655">
        <v>38.529941000000001</v>
      </c>
      <c r="I20" s="654">
        <v>427</v>
      </c>
      <c r="J20" s="655">
        <v>54.963702000000005</v>
      </c>
      <c r="K20" s="654">
        <v>651</v>
      </c>
      <c r="L20" s="655">
        <v>83.837885999999997</v>
      </c>
    </row>
    <row r="21" spans="1:12" customFormat="1" ht="13.35" customHeight="1" x14ac:dyDescent="0.2">
      <c r="A21" s="1"/>
      <c r="B21" s="631"/>
      <c r="C21" s="16" t="s">
        <v>35</v>
      </c>
      <c r="D21" s="338" t="s">
        <v>478</v>
      </c>
      <c r="E21" s="654">
        <v>117</v>
      </c>
      <c r="F21" s="655">
        <v>17.463944999999999</v>
      </c>
      <c r="G21" s="654">
        <v>150</v>
      </c>
      <c r="H21" s="655">
        <v>22.359072999999999</v>
      </c>
      <c r="I21" s="654">
        <v>195</v>
      </c>
      <c r="J21" s="655">
        <v>28.983530000000002</v>
      </c>
      <c r="K21" s="654">
        <v>270</v>
      </c>
      <c r="L21" s="655">
        <v>40.186425</v>
      </c>
    </row>
    <row r="22" spans="1:12" customFormat="1" ht="13.35" customHeight="1" x14ac:dyDescent="0.2">
      <c r="A22" s="1"/>
      <c r="B22" s="631"/>
      <c r="C22" s="16" t="s">
        <v>36</v>
      </c>
      <c r="D22" s="338" t="s">
        <v>479</v>
      </c>
      <c r="E22" s="654">
        <v>82</v>
      </c>
      <c r="F22" s="655">
        <v>13.850946</v>
      </c>
      <c r="G22" s="654">
        <v>93</v>
      </c>
      <c r="H22" s="655">
        <v>15.742822</v>
      </c>
      <c r="I22" s="654">
        <v>109</v>
      </c>
      <c r="J22" s="655">
        <v>18.430334999999999</v>
      </c>
      <c r="K22" s="654">
        <v>123</v>
      </c>
      <c r="L22" s="655">
        <v>20.710514999999997</v>
      </c>
    </row>
    <row r="23" spans="1:12" customFormat="1" ht="13.35" customHeight="1" x14ac:dyDescent="0.2">
      <c r="A23" s="1"/>
      <c r="B23" s="631"/>
      <c r="C23" s="16" t="s">
        <v>37</v>
      </c>
      <c r="D23" s="338" t="s">
        <v>480</v>
      </c>
      <c r="E23" s="654">
        <v>146</v>
      </c>
      <c r="F23" s="655">
        <v>32.084581999999997</v>
      </c>
      <c r="G23" s="654">
        <v>164</v>
      </c>
      <c r="H23" s="655">
        <v>35.617946000000003</v>
      </c>
      <c r="I23" s="654">
        <v>202</v>
      </c>
      <c r="J23" s="655">
        <v>44.570330000000006</v>
      </c>
      <c r="K23" s="654">
        <v>238</v>
      </c>
      <c r="L23" s="655">
        <v>52.050502999999999</v>
      </c>
    </row>
    <row r="24" spans="1:12" customFormat="1" ht="13.35" customHeight="1" x14ac:dyDescent="0.2">
      <c r="A24" s="1"/>
      <c r="B24" s="631"/>
      <c r="C24" s="16" t="s">
        <v>38</v>
      </c>
      <c r="D24" s="338" t="s">
        <v>484</v>
      </c>
      <c r="E24" s="654">
        <f t="shared" ref="E24:L24" si="0">E33</f>
        <v>60</v>
      </c>
      <c r="F24" s="655">
        <f t="shared" si="0"/>
        <v>18.013239000000002</v>
      </c>
      <c r="G24" s="654">
        <f t="shared" si="0"/>
        <v>51</v>
      </c>
      <c r="H24" s="655">
        <f t="shared" si="0"/>
        <v>11.748521999999999</v>
      </c>
      <c r="I24" s="654">
        <f t="shared" si="0"/>
        <v>86</v>
      </c>
      <c r="J24" s="655">
        <f t="shared" si="0"/>
        <v>13.640646</v>
      </c>
      <c r="K24" s="654">
        <f t="shared" si="0"/>
        <v>80</v>
      </c>
      <c r="L24" s="655">
        <f t="shared" si="0"/>
        <v>21.880329999999997</v>
      </c>
    </row>
    <row r="25" spans="1:12" customFormat="1" ht="13.35" customHeight="1" x14ac:dyDescent="0.2">
      <c r="A25" s="1"/>
      <c r="B25" s="748"/>
      <c r="C25" s="590" t="s">
        <v>8</v>
      </c>
      <c r="D25" s="749"/>
      <c r="E25" s="750">
        <f t="shared" ref="E25:L25" si="1">SUM(E4:E24)</f>
        <v>1905733</v>
      </c>
      <c r="F25" s="751">
        <f t="shared" si="1"/>
        <v>20270.972209999996</v>
      </c>
      <c r="G25" s="750">
        <f t="shared" si="1"/>
        <v>2024385</v>
      </c>
      <c r="H25" s="751">
        <f t="shared" si="1"/>
        <v>23389.281140999999</v>
      </c>
      <c r="I25" s="750">
        <f t="shared" si="1"/>
        <v>2088558</v>
      </c>
      <c r="J25" s="751">
        <f t="shared" si="1"/>
        <v>25979.119663000001</v>
      </c>
      <c r="K25" s="750">
        <f t="shared" si="1"/>
        <v>2101978</v>
      </c>
      <c r="L25" s="751">
        <f t="shared" si="1"/>
        <v>27880.379620999993</v>
      </c>
    </row>
    <row r="26" spans="1:12" s="1" customFormat="1" ht="13.35" customHeight="1" x14ac:dyDescent="0.2">
      <c r="B26" s="645"/>
      <c r="C26" s="645"/>
    </row>
    <row r="27" spans="1:12" s="1" customFormat="1" ht="13.35" customHeight="1" x14ac:dyDescent="0.2"/>
    <row r="28" spans="1:12" customFormat="1" ht="13.35" customHeight="1" x14ac:dyDescent="0.2">
      <c r="A28" s="1"/>
      <c r="G28" s="352" t="s">
        <v>371</v>
      </c>
      <c r="I28" s="1"/>
    </row>
    <row r="29" spans="1:12" customFormat="1" ht="13.35" customHeight="1" x14ac:dyDescent="0.2">
      <c r="A29" s="1"/>
      <c r="I29" s="1"/>
    </row>
    <row r="30" spans="1:12" customFormat="1" ht="13.35" hidden="1" customHeight="1" x14ac:dyDescent="0.2">
      <c r="A30" s="1"/>
      <c r="D30" s="106" t="s">
        <v>227</v>
      </c>
      <c r="E30" s="84">
        <f>A2.7.1!E4-A2.7.9!E25</f>
        <v>0</v>
      </c>
      <c r="F30" s="84">
        <f>A2.7.1!F4-A2.7.9!F25</f>
        <v>0</v>
      </c>
      <c r="G30" s="84">
        <f>A2.7.1!G4-A2.7.9!G25</f>
        <v>0</v>
      </c>
      <c r="H30" s="84">
        <f>A2.7.1!H4-A2.7.9!H25</f>
        <v>0</v>
      </c>
      <c r="I30" s="84">
        <f>A2.7.1!I4-A2.7.9!I25</f>
        <v>0</v>
      </c>
      <c r="J30" s="84">
        <f>A2.7.1!J4-A2.7.9!J25</f>
        <v>0</v>
      </c>
      <c r="K30" s="84">
        <f>A2.7.1!K4-A2.7.9!K25</f>
        <v>0</v>
      </c>
      <c r="L30" s="107">
        <f>A2.7.1!L4-A2.7.9!L25</f>
        <v>0</v>
      </c>
    </row>
    <row r="31" spans="1:12" customFormat="1" ht="13.35" hidden="1" customHeight="1" x14ac:dyDescent="0.2">
      <c r="A31" s="1"/>
      <c r="I31" s="1"/>
    </row>
    <row r="32" spans="1:12" hidden="1" x14ac:dyDescent="0.2"/>
    <row r="33" spans="1:12" customFormat="1" ht="13.35" hidden="1" customHeight="1" x14ac:dyDescent="0.2">
      <c r="A33" s="1"/>
      <c r="D33" s="106" t="s">
        <v>484</v>
      </c>
      <c r="E33" s="84">
        <f t="shared" ref="E33:L33" si="2">SUM(E34:E36)</f>
        <v>60</v>
      </c>
      <c r="F33" s="84">
        <f t="shared" si="2"/>
        <v>18.013239000000002</v>
      </c>
      <c r="G33" s="84">
        <f t="shared" si="2"/>
        <v>51</v>
      </c>
      <c r="H33" s="84">
        <f t="shared" si="2"/>
        <v>11.748521999999999</v>
      </c>
      <c r="I33" s="84">
        <f t="shared" si="2"/>
        <v>86</v>
      </c>
      <c r="J33" s="84">
        <f t="shared" si="2"/>
        <v>13.640646</v>
      </c>
      <c r="K33" s="84">
        <f t="shared" si="2"/>
        <v>80</v>
      </c>
      <c r="L33" s="107">
        <f t="shared" si="2"/>
        <v>21.880329999999997</v>
      </c>
    </row>
    <row r="34" spans="1:12" customFormat="1" ht="13.35" hidden="1" customHeight="1" x14ac:dyDescent="0.2">
      <c r="A34" s="1"/>
      <c r="D34" s="752" t="s">
        <v>484</v>
      </c>
      <c r="E34" s="753">
        <v>37</v>
      </c>
      <c r="F34" s="753">
        <v>18.082050000000002</v>
      </c>
      <c r="G34" s="753">
        <v>32</v>
      </c>
      <c r="H34" s="753">
        <v>11.83328</v>
      </c>
      <c r="I34" s="753">
        <v>38</v>
      </c>
      <c r="J34" s="753">
        <v>13.774329</v>
      </c>
      <c r="K34" s="753">
        <v>59</v>
      </c>
      <c r="L34" s="754">
        <v>21.976239999999997</v>
      </c>
    </row>
    <row r="35" spans="1:12" customFormat="1" ht="13.35" hidden="1" customHeight="1" x14ac:dyDescent="0.2">
      <c r="A35" s="1"/>
      <c r="D35" s="756" t="s">
        <v>451</v>
      </c>
      <c r="E35" s="198">
        <v>23</v>
      </c>
      <c r="F35" s="198">
        <v>-6.8810999999999997E-2</v>
      </c>
      <c r="G35" s="198">
        <v>19</v>
      </c>
      <c r="H35" s="198">
        <v>-8.4758E-2</v>
      </c>
      <c r="I35" s="198">
        <v>48</v>
      </c>
      <c r="J35" s="198">
        <v>-0.133683</v>
      </c>
      <c r="K35" s="198">
        <v>21</v>
      </c>
      <c r="L35" s="199">
        <v>-9.5909999999999995E-2</v>
      </c>
    </row>
    <row r="36" spans="1:12" customFormat="1" ht="13.35" hidden="1" customHeight="1" x14ac:dyDescent="0.2">
      <c r="A36" s="1"/>
      <c r="D36" s="755" t="s">
        <v>231</v>
      </c>
      <c r="E36" s="200">
        <v>0</v>
      </c>
      <c r="F36" s="200">
        <v>0</v>
      </c>
      <c r="G36" s="200">
        <v>0</v>
      </c>
      <c r="H36" s="200">
        <v>0</v>
      </c>
      <c r="I36" s="200">
        <v>0</v>
      </c>
      <c r="J36" s="200">
        <v>0</v>
      </c>
      <c r="K36" s="200">
        <v>0</v>
      </c>
      <c r="L36" s="201">
        <v>0</v>
      </c>
    </row>
  </sheetData>
  <mergeCells count="2">
    <mergeCell ref="C3:D3"/>
    <mergeCell ref="K2:L2"/>
  </mergeCells>
  <hyperlinks>
    <hyperlink ref="G28"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L35"/>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531</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469</v>
      </c>
      <c r="D3" s="1043"/>
      <c r="E3" s="744" t="s">
        <v>17</v>
      </c>
      <c r="F3" s="745" t="s">
        <v>104</v>
      </c>
      <c r="G3" s="744" t="s">
        <v>17</v>
      </c>
      <c r="H3" s="745" t="s">
        <v>104</v>
      </c>
      <c r="I3" s="744" t="s">
        <v>17</v>
      </c>
      <c r="J3" s="745" t="s">
        <v>104</v>
      </c>
      <c r="K3" s="744" t="s">
        <v>17</v>
      </c>
      <c r="L3" s="745" t="s">
        <v>104</v>
      </c>
    </row>
    <row r="4" spans="1:12" ht="13.35" customHeight="1" x14ac:dyDescent="0.2">
      <c r="B4" s="145"/>
      <c r="C4" s="16" t="s">
        <v>18</v>
      </c>
      <c r="D4" s="338" t="s">
        <v>470</v>
      </c>
      <c r="E4" s="654">
        <v>844101</v>
      </c>
      <c r="F4" s="655">
        <v>2201.424771</v>
      </c>
      <c r="G4" s="654">
        <v>840868</v>
      </c>
      <c r="H4" s="655">
        <v>2262.0105269999999</v>
      </c>
      <c r="I4" s="654">
        <v>770746</v>
      </c>
      <c r="J4" s="655">
        <v>2158.5623860000001</v>
      </c>
      <c r="K4" s="654">
        <v>768873</v>
      </c>
      <c r="L4" s="655">
        <v>2186.3293600000002</v>
      </c>
    </row>
    <row r="5" spans="1:12" ht="13.35" customHeight="1" x14ac:dyDescent="0.2">
      <c r="B5" s="145"/>
      <c r="C5" s="16" t="s">
        <v>19</v>
      </c>
      <c r="D5" s="338" t="s">
        <v>482</v>
      </c>
      <c r="E5" s="654">
        <v>213312</v>
      </c>
      <c r="F5" s="655">
        <v>1493.786533</v>
      </c>
      <c r="G5" s="654">
        <v>223971</v>
      </c>
      <c r="H5" s="655">
        <v>1562.786151</v>
      </c>
      <c r="I5" s="654">
        <v>300865</v>
      </c>
      <c r="J5" s="655">
        <v>2078.587317</v>
      </c>
      <c r="K5" s="654">
        <v>314681</v>
      </c>
      <c r="L5" s="655">
        <v>2181.400701</v>
      </c>
    </row>
    <row r="6" spans="1:12" ht="13.35" customHeight="1" x14ac:dyDescent="0.2">
      <c r="B6" s="145"/>
      <c r="C6" s="16" t="s">
        <v>20</v>
      </c>
      <c r="D6" s="338" t="s">
        <v>483</v>
      </c>
      <c r="E6" s="654">
        <v>82094</v>
      </c>
      <c r="F6" s="655">
        <v>1005.630368</v>
      </c>
      <c r="G6" s="654">
        <v>84745</v>
      </c>
      <c r="H6" s="655">
        <v>1037.774952</v>
      </c>
      <c r="I6" s="654">
        <v>96172</v>
      </c>
      <c r="J6" s="655">
        <v>1174.8373300000001</v>
      </c>
      <c r="K6" s="654">
        <v>101209</v>
      </c>
      <c r="L6" s="655">
        <v>1235.880854</v>
      </c>
    </row>
    <row r="7" spans="1:12" ht="13.35" customHeight="1" x14ac:dyDescent="0.2">
      <c r="B7" s="145"/>
      <c r="C7" s="16" t="s">
        <v>21</v>
      </c>
      <c r="D7" s="338" t="s">
        <v>455</v>
      </c>
      <c r="E7" s="654">
        <v>43319</v>
      </c>
      <c r="F7" s="655">
        <v>750.39007900000001</v>
      </c>
      <c r="G7" s="654">
        <v>44956</v>
      </c>
      <c r="H7" s="655">
        <v>779.23442799999998</v>
      </c>
      <c r="I7" s="654">
        <v>50423</v>
      </c>
      <c r="J7" s="655">
        <v>873.33480999999995</v>
      </c>
      <c r="K7" s="654">
        <v>52416</v>
      </c>
      <c r="L7" s="655">
        <v>908.24576100000002</v>
      </c>
    </row>
    <row r="8" spans="1:12" ht="13.35" customHeight="1" x14ac:dyDescent="0.2">
      <c r="B8" s="145"/>
      <c r="C8" s="16" t="s">
        <v>22</v>
      </c>
      <c r="D8" s="338" t="s">
        <v>472</v>
      </c>
      <c r="E8" s="654">
        <v>26959</v>
      </c>
      <c r="F8" s="655">
        <v>603.502252</v>
      </c>
      <c r="G8" s="654">
        <v>28311</v>
      </c>
      <c r="H8" s="655">
        <v>633.87268900000004</v>
      </c>
      <c r="I8" s="654">
        <v>31480</v>
      </c>
      <c r="J8" s="655">
        <v>704.777334</v>
      </c>
      <c r="K8" s="654">
        <v>32982</v>
      </c>
      <c r="L8" s="655">
        <v>739.34102600000006</v>
      </c>
    </row>
    <row r="9" spans="1:12" ht="13.35" customHeight="1" x14ac:dyDescent="0.2">
      <c r="B9" s="145"/>
      <c r="C9" s="16" t="s">
        <v>23</v>
      </c>
      <c r="D9" s="338" t="s">
        <v>471</v>
      </c>
      <c r="E9" s="654">
        <v>18632</v>
      </c>
      <c r="F9" s="655">
        <v>510.17081300000001</v>
      </c>
      <c r="G9" s="654">
        <v>19185</v>
      </c>
      <c r="H9" s="655">
        <v>525.85139000000004</v>
      </c>
      <c r="I9" s="654">
        <v>21398</v>
      </c>
      <c r="J9" s="655">
        <v>586.64978299999996</v>
      </c>
      <c r="K9" s="654">
        <v>22584</v>
      </c>
      <c r="L9" s="655">
        <v>618.59806100000003</v>
      </c>
    </row>
    <row r="10" spans="1:12" ht="13.35" customHeight="1" x14ac:dyDescent="0.2">
      <c r="B10" s="145"/>
      <c r="C10" s="16" t="s">
        <v>24</v>
      </c>
      <c r="D10" s="338" t="s">
        <v>473</v>
      </c>
      <c r="E10" s="654">
        <v>12383</v>
      </c>
      <c r="F10" s="655">
        <v>400.80737800000003</v>
      </c>
      <c r="G10" s="654">
        <v>13059</v>
      </c>
      <c r="H10" s="655">
        <v>422.63277599999998</v>
      </c>
      <c r="I10" s="654">
        <v>14647</v>
      </c>
      <c r="J10" s="655">
        <v>474.03666900000002</v>
      </c>
      <c r="K10" s="654">
        <v>15651</v>
      </c>
      <c r="L10" s="655">
        <v>506.85753999999997</v>
      </c>
    </row>
    <row r="11" spans="1:12" s="50" customFormat="1" ht="13.35" customHeight="1" x14ac:dyDescent="0.2">
      <c r="B11" s="145"/>
      <c r="C11" s="16" t="s">
        <v>25</v>
      </c>
      <c r="D11" s="338" t="s">
        <v>474</v>
      </c>
      <c r="E11" s="654">
        <v>9706</v>
      </c>
      <c r="F11" s="655">
        <v>362.87008500000002</v>
      </c>
      <c r="G11" s="654">
        <v>10411</v>
      </c>
      <c r="H11" s="655">
        <v>389.27858300000003</v>
      </c>
      <c r="I11" s="654">
        <v>11669</v>
      </c>
      <c r="J11" s="655">
        <v>436.21060499999999</v>
      </c>
      <c r="K11" s="654">
        <v>12289</v>
      </c>
      <c r="L11" s="655">
        <v>459.14381200000003</v>
      </c>
    </row>
    <row r="12" spans="1:12" s="1" customFormat="1" ht="13.35" customHeight="1" x14ac:dyDescent="0.2">
      <c r="B12" s="631"/>
      <c r="C12" s="16" t="s">
        <v>26</v>
      </c>
      <c r="D12" s="338" t="s">
        <v>481</v>
      </c>
      <c r="E12" s="654">
        <v>6939</v>
      </c>
      <c r="F12" s="655">
        <v>294.46528499999999</v>
      </c>
      <c r="G12" s="654">
        <v>7633</v>
      </c>
      <c r="H12" s="655">
        <v>323.86672499999997</v>
      </c>
      <c r="I12" s="654">
        <v>8554</v>
      </c>
      <c r="J12" s="655">
        <v>363.35062599999998</v>
      </c>
      <c r="K12" s="654">
        <v>9165</v>
      </c>
      <c r="L12" s="655">
        <v>389.39880699999998</v>
      </c>
    </row>
    <row r="13" spans="1:12" s="1" customFormat="1" ht="13.35" customHeight="1" x14ac:dyDescent="0.2">
      <c r="B13" s="631"/>
      <c r="C13" s="16" t="s">
        <v>27</v>
      </c>
      <c r="D13" s="338" t="s">
        <v>475</v>
      </c>
      <c r="E13" s="654">
        <v>5478</v>
      </c>
      <c r="F13" s="655">
        <v>260.271118</v>
      </c>
      <c r="G13" s="654">
        <v>6107</v>
      </c>
      <c r="H13" s="655">
        <v>290.04836599999999</v>
      </c>
      <c r="I13" s="654">
        <v>6861</v>
      </c>
      <c r="J13" s="655">
        <v>326.20806700000003</v>
      </c>
      <c r="K13" s="654">
        <v>7352</v>
      </c>
      <c r="L13" s="655">
        <v>349.43076600000001</v>
      </c>
    </row>
    <row r="14" spans="1:12" s="1" customFormat="1" ht="13.35" customHeight="1" x14ac:dyDescent="0.2">
      <c r="B14" s="631"/>
      <c r="C14" s="16" t="s">
        <v>28</v>
      </c>
      <c r="D14" s="338" t="s">
        <v>48</v>
      </c>
      <c r="E14" s="654">
        <v>7899</v>
      </c>
      <c r="F14" s="655">
        <v>432.67439999999999</v>
      </c>
      <c r="G14" s="654">
        <v>8534</v>
      </c>
      <c r="H14" s="655">
        <v>467.62145199999998</v>
      </c>
      <c r="I14" s="654">
        <v>9896</v>
      </c>
      <c r="J14" s="655">
        <v>542.36322300000006</v>
      </c>
      <c r="K14" s="654">
        <v>10657</v>
      </c>
      <c r="L14" s="655">
        <v>584.50437099999999</v>
      </c>
    </row>
    <row r="15" spans="1:12" s="1" customFormat="1" ht="13.35" customHeight="1" x14ac:dyDescent="0.2">
      <c r="B15" s="631"/>
      <c r="C15" s="16" t="s">
        <v>29</v>
      </c>
      <c r="D15" s="338" t="s">
        <v>49</v>
      </c>
      <c r="E15" s="654">
        <v>5025</v>
      </c>
      <c r="F15" s="655">
        <v>324.80172500000003</v>
      </c>
      <c r="G15" s="654">
        <v>5600</v>
      </c>
      <c r="H15" s="655">
        <v>362.10719399999999</v>
      </c>
      <c r="I15" s="654">
        <v>6456</v>
      </c>
      <c r="J15" s="655">
        <v>417.89106600000002</v>
      </c>
      <c r="K15" s="654">
        <v>6955</v>
      </c>
      <c r="L15" s="655">
        <v>449.98745499999995</v>
      </c>
    </row>
    <row r="16" spans="1:12" customFormat="1" ht="13.35" customHeight="1" x14ac:dyDescent="0.2">
      <c r="A16" s="1"/>
      <c r="B16" s="631"/>
      <c r="C16" s="16" t="s">
        <v>30</v>
      </c>
      <c r="D16" s="338" t="s">
        <v>50</v>
      </c>
      <c r="E16" s="654">
        <v>3358</v>
      </c>
      <c r="F16" s="655">
        <v>250.93068399999999</v>
      </c>
      <c r="G16" s="654">
        <v>3919</v>
      </c>
      <c r="H16" s="655">
        <v>292.83711</v>
      </c>
      <c r="I16" s="654">
        <v>4490</v>
      </c>
      <c r="J16" s="655">
        <v>335.854873</v>
      </c>
      <c r="K16" s="654">
        <v>5137</v>
      </c>
      <c r="L16" s="655">
        <v>383.52542499999998</v>
      </c>
    </row>
    <row r="17" spans="1:12" customFormat="1" ht="13.35" customHeight="1" x14ac:dyDescent="0.2">
      <c r="A17" s="1"/>
      <c r="B17" s="631"/>
      <c r="C17" s="16" t="s">
        <v>31</v>
      </c>
      <c r="D17" s="338" t="s">
        <v>51</v>
      </c>
      <c r="E17" s="654">
        <v>2358</v>
      </c>
      <c r="F17" s="655">
        <v>200.01711699999998</v>
      </c>
      <c r="G17" s="654">
        <v>2687</v>
      </c>
      <c r="H17" s="655">
        <v>228.062984</v>
      </c>
      <c r="I17" s="654">
        <v>3207</v>
      </c>
      <c r="J17" s="655">
        <v>272.17346700000002</v>
      </c>
      <c r="K17" s="654">
        <v>3535</v>
      </c>
      <c r="L17" s="655">
        <v>299.87790799999999</v>
      </c>
    </row>
    <row r="18" spans="1:12" customFormat="1" ht="13.35" customHeight="1" x14ac:dyDescent="0.2">
      <c r="A18" s="1"/>
      <c r="B18" s="631"/>
      <c r="C18" s="16" t="s">
        <v>32</v>
      </c>
      <c r="D18" s="338" t="s">
        <v>52</v>
      </c>
      <c r="E18" s="654">
        <v>1696</v>
      </c>
      <c r="F18" s="655">
        <v>161.195561</v>
      </c>
      <c r="G18" s="654">
        <v>2000</v>
      </c>
      <c r="H18" s="655">
        <v>190.18959699999999</v>
      </c>
      <c r="I18" s="654">
        <v>2441</v>
      </c>
      <c r="J18" s="655">
        <v>232.22828900000002</v>
      </c>
      <c r="K18" s="654">
        <v>2714</v>
      </c>
      <c r="L18" s="655">
        <v>258.490703</v>
      </c>
    </row>
    <row r="19" spans="1:12" customFormat="1" ht="13.35" customHeight="1" x14ac:dyDescent="0.2">
      <c r="A19" s="1"/>
      <c r="B19" s="631"/>
      <c r="C19" s="16" t="s">
        <v>33</v>
      </c>
      <c r="D19" s="338" t="s">
        <v>476</v>
      </c>
      <c r="E19" s="654">
        <v>2278</v>
      </c>
      <c r="F19" s="655">
        <v>248.52566300000001</v>
      </c>
      <c r="G19" s="654">
        <v>2641</v>
      </c>
      <c r="H19" s="655">
        <v>288.82866999999999</v>
      </c>
      <c r="I19" s="654">
        <v>3331</v>
      </c>
      <c r="J19" s="655">
        <v>364.53081399999996</v>
      </c>
      <c r="K19" s="654">
        <v>3737</v>
      </c>
      <c r="L19" s="655">
        <v>409.29064200000005</v>
      </c>
    </row>
    <row r="20" spans="1:12" customFormat="1" ht="13.35" customHeight="1" x14ac:dyDescent="0.2">
      <c r="A20" s="1"/>
      <c r="B20" s="631"/>
      <c r="C20" s="16" t="s">
        <v>34</v>
      </c>
      <c r="D20" s="338" t="s">
        <v>477</v>
      </c>
      <c r="E20" s="654">
        <v>1334</v>
      </c>
      <c r="F20" s="655">
        <v>172.04811000000001</v>
      </c>
      <c r="G20" s="654">
        <v>1560</v>
      </c>
      <c r="H20" s="655">
        <v>201.42523400000002</v>
      </c>
      <c r="I20" s="654">
        <v>1892</v>
      </c>
      <c r="J20" s="655">
        <v>244.35824099999999</v>
      </c>
      <c r="K20" s="654">
        <v>2144</v>
      </c>
      <c r="L20" s="655">
        <v>277.07308599999999</v>
      </c>
    </row>
    <row r="21" spans="1:12" customFormat="1" ht="13.35" customHeight="1" x14ac:dyDescent="0.2">
      <c r="A21" s="1"/>
      <c r="B21" s="631"/>
      <c r="C21" s="16" t="s">
        <v>35</v>
      </c>
      <c r="D21" s="338" t="s">
        <v>478</v>
      </c>
      <c r="E21" s="654">
        <v>863</v>
      </c>
      <c r="F21" s="655">
        <v>128.91911400000001</v>
      </c>
      <c r="G21" s="654">
        <v>1083</v>
      </c>
      <c r="H21" s="655">
        <v>161.892732</v>
      </c>
      <c r="I21" s="654">
        <v>1270</v>
      </c>
      <c r="J21" s="655">
        <v>189.882499</v>
      </c>
      <c r="K21" s="654">
        <v>1428</v>
      </c>
      <c r="L21" s="655">
        <v>213.57673199999999</v>
      </c>
    </row>
    <row r="22" spans="1:12" customFormat="1" ht="13.35" customHeight="1" x14ac:dyDescent="0.2">
      <c r="A22" s="1"/>
      <c r="B22" s="631"/>
      <c r="C22" s="16" t="s">
        <v>36</v>
      </c>
      <c r="D22" s="338" t="s">
        <v>479</v>
      </c>
      <c r="E22" s="654">
        <v>562</v>
      </c>
      <c r="F22" s="655">
        <v>95.168012000000004</v>
      </c>
      <c r="G22" s="654">
        <v>628</v>
      </c>
      <c r="H22" s="655">
        <v>106.53032400000001</v>
      </c>
      <c r="I22" s="654">
        <v>875</v>
      </c>
      <c r="J22" s="655">
        <v>148.50939000000002</v>
      </c>
      <c r="K22" s="654">
        <v>953</v>
      </c>
      <c r="L22" s="655">
        <v>162.07978600000001</v>
      </c>
    </row>
    <row r="23" spans="1:12" customFormat="1" ht="13.35" customHeight="1" x14ac:dyDescent="0.2">
      <c r="A23" s="1"/>
      <c r="B23" s="631"/>
      <c r="C23" s="16" t="s">
        <v>37</v>
      </c>
      <c r="D23" s="338" t="s">
        <v>480</v>
      </c>
      <c r="E23" s="654">
        <v>1178</v>
      </c>
      <c r="F23" s="655">
        <v>258.86042199999997</v>
      </c>
      <c r="G23" s="654">
        <v>1442</v>
      </c>
      <c r="H23" s="655">
        <v>318.28577999999999</v>
      </c>
      <c r="I23" s="654">
        <v>1882</v>
      </c>
      <c r="J23" s="655">
        <v>413.74090000000001</v>
      </c>
      <c r="K23" s="654">
        <v>2192</v>
      </c>
      <c r="L23" s="655">
        <v>483.07073400000002</v>
      </c>
    </row>
    <row r="24" spans="1:12" customFormat="1" ht="13.35" customHeight="1" x14ac:dyDescent="0.2">
      <c r="A24" s="1"/>
      <c r="B24" s="631"/>
      <c r="C24" s="16" t="s">
        <v>38</v>
      </c>
      <c r="D24" s="338" t="s">
        <v>484</v>
      </c>
      <c r="E24" s="654">
        <f t="shared" ref="E24:L24" si="0">E32</f>
        <v>588</v>
      </c>
      <c r="F24" s="655">
        <f t="shared" si="0"/>
        <v>296.34472800000009</v>
      </c>
      <c r="G24" s="654">
        <f t="shared" si="0"/>
        <v>712</v>
      </c>
      <c r="H24" s="655">
        <f t="shared" si="0"/>
        <v>356.716497</v>
      </c>
      <c r="I24" s="654">
        <f t="shared" si="0"/>
        <v>867</v>
      </c>
      <c r="J24" s="655">
        <f t="shared" si="0"/>
        <v>429.84657100000004</v>
      </c>
      <c r="K24" s="654">
        <f t="shared" si="0"/>
        <v>1092</v>
      </c>
      <c r="L24" s="655">
        <f t="shared" si="0"/>
        <v>583.78513999999996</v>
      </c>
    </row>
    <row r="25" spans="1:12" customFormat="1" ht="13.35" customHeight="1" x14ac:dyDescent="0.2">
      <c r="A25" s="1"/>
      <c r="B25" s="748"/>
      <c r="C25" s="590" t="s">
        <v>8</v>
      </c>
      <c r="D25" s="749"/>
      <c r="E25" s="750">
        <f t="shared" ref="E25:L25" si="1">SUM(E4:E24)</f>
        <v>1290062</v>
      </c>
      <c r="F25" s="751">
        <f t="shared" si="1"/>
        <v>10452.804218000001</v>
      </c>
      <c r="G25" s="750">
        <f t="shared" si="1"/>
        <v>1310052</v>
      </c>
      <c r="H25" s="751">
        <f t="shared" si="1"/>
        <v>11201.854160999999</v>
      </c>
      <c r="I25" s="750">
        <f t="shared" si="1"/>
        <v>1349422</v>
      </c>
      <c r="J25" s="751">
        <f t="shared" si="1"/>
        <v>12767.93426</v>
      </c>
      <c r="K25" s="750">
        <f t="shared" si="1"/>
        <v>1377746</v>
      </c>
      <c r="L25" s="751">
        <f t="shared" si="1"/>
        <v>13679.88867</v>
      </c>
    </row>
    <row r="26" spans="1:12" s="1" customFormat="1" ht="13.35" customHeight="1" x14ac:dyDescent="0.2">
      <c r="B26" s="645"/>
      <c r="C26" s="645"/>
    </row>
    <row r="27" spans="1:12" s="1" customFormat="1" ht="13.35" customHeight="1" x14ac:dyDescent="0.2"/>
    <row r="28" spans="1:12" customFormat="1" ht="13.35" customHeight="1" x14ac:dyDescent="0.2">
      <c r="A28" s="1"/>
      <c r="G28" s="352" t="s">
        <v>371</v>
      </c>
      <c r="I28" s="1"/>
    </row>
    <row r="29" spans="1:12" customFormat="1" ht="13.35" customHeight="1" x14ac:dyDescent="0.2">
      <c r="A29" s="1"/>
      <c r="I29" s="1"/>
    </row>
    <row r="30" spans="1:12" customFormat="1" ht="13.35" hidden="1" customHeight="1" x14ac:dyDescent="0.2">
      <c r="A30" s="1"/>
      <c r="D30" s="106" t="s">
        <v>227</v>
      </c>
      <c r="E30" s="84">
        <f>A2.7.1!E6-A2.7.10!E25</f>
        <v>0</v>
      </c>
      <c r="F30" s="84">
        <f>A2.7.1!F6-A2.7.10!F25</f>
        <v>0</v>
      </c>
      <c r="G30" s="84">
        <f>A2.7.1!G6-A2.7.10!G25</f>
        <v>0</v>
      </c>
      <c r="H30" s="84">
        <f>A2.7.1!H6-A2.7.10!H25</f>
        <v>0</v>
      </c>
      <c r="I30" s="84">
        <f>A2.7.1!I6-A2.7.10!I25</f>
        <v>0</v>
      </c>
      <c r="J30" s="84">
        <f>A2.7.1!J6-A2.7.10!J25</f>
        <v>0</v>
      </c>
      <c r="K30" s="84">
        <f>A2.7.1!K6-A2.7.10!K25</f>
        <v>0</v>
      </c>
      <c r="L30" s="107">
        <f>A2.7.1!L6-A2.7.10!L25</f>
        <v>0</v>
      </c>
    </row>
    <row r="31" spans="1:12" hidden="1" x14ac:dyDescent="0.2"/>
    <row r="32" spans="1:12" customFormat="1" ht="13.35" hidden="1" customHeight="1" x14ac:dyDescent="0.2">
      <c r="A32" s="1"/>
      <c r="D32" s="106" t="s">
        <v>484</v>
      </c>
      <c r="E32" s="84">
        <f t="shared" ref="E32:L32" si="2">SUM(E33:E35)</f>
        <v>588</v>
      </c>
      <c r="F32" s="84">
        <f t="shared" si="2"/>
        <v>296.34472800000009</v>
      </c>
      <c r="G32" s="84">
        <f t="shared" si="2"/>
        <v>712</v>
      </c>
      <c r="H32" s="84">
        <f t="shared" si="2"/>
        <v>356.716497</v>
      </c>
      <c r="I32" s="84">
        <f t="shared" si="2"/>
        <v>867</v>
      </c>
      <c r="J32" s="84">
        <f t="shared" si="2"/>
        <v>429.84657100000004</v>
      </c>
      <c r="K32" s="84">
        <f t="shared" si="2"/>
        <v>1092</v>
      </c>
      <c r="L32" s="107">
        <f t="shared" si="2"/>
        <v>583.78513999999996</v>
      </c>
    </row>
    <row r="33" spans="1:12" customFormat="1" ht="13.35" hidden="1" customHeight="1" x14ac:dyDescent="0.2">
      <c r="A33" s="1"/>
      <c r="D33" s="752" t="s">
        <v>484</v>
      </c>
      <c r="E33" s="753">
        <v>588</v>
      </c>
      <c r="F33" s="753">
        <v>296.34472800000009</v>
      </c>
      <c r="G33" s="753">
        <v>712</v>
      </c>
      <c r="H33" s="753">
        <v>356.716497</v>
      </c>
      <c r="I33" s="753">
        <v>866</v>
      </c>
      <c r="J33" s="753">
        <v>429.85516500000006</v>
      </c>
      <c r="K33" s="753">
        <v>1092</v>
      </c>
      <c r="L33" s="754">
        <v>583.78513999999996</v>
      </c>
    </row>
    <row r="34" spans="1:12" customFormat="1" ht="13.35" hidden="1" customHeight="1" x14ac:dyDescent="0.2">
      <c r="A34" s="1"/>
      <c r="D34" s="756" t="s">
        <v>451</v>
      </c>
      <c r="E34" s="198">
        <v>0</v>
      </c>
      <c r="F34" s="198">
        <v>0</v>
      </c>
      <c r="G34" s="198">
        <v>0</v>
      </c>
      <c r="H34" s="198">
        <v>0</v>
      </c>
      <c r="I34" s="198">
        <v>1</v>
      </c>
      <c r="J34" s="198">
        <v>-8.5939999999999992E-3</v>
      </c>
      <c r="K34" s="198">
        <v>0</v>
      </c>
      <c r="L34" s="199">
        <v>0</v>
      </c>
    </row>
    <row r="35" spans="1:12" customFormat="1" ht="13.35" hidden="1" customHeight="1" x14ac:dyDescent="0.2">
      <c r="A35" s="1"/>
      <c r="D35" s="755" t="s">
        <v>231</v>
      </c>
      <c r="E35" s="200">
        <v>0</v>
      </c>
      <c r="F35" s="200">
        <v>0</v>
      </c>
      <c r="G35" s="200">
        <v>0</v>
      </c>
      <c r="H35" s="200">
        <v>0</v>
      </c>
      <c r="I35" s="200">
        <v>0</v>
      </c>
      <c r="J35" s="200">
        <v>0</v>
      </c>
      <c r="K35" s="200">
        <v>0</v>
      </c>
      <c r="L35" s="201">
        <v>0</v>
      </c>
    </row>
  </sheetData>
  <mergeCells count="2">
    <mergeCell ref="C3:D3"/>
    <mergeCell ref="K2:L2"/>
  </mergeCells>
  <hyperlinks>
    <hyperlink ref="G28"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L37"/>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15" customHeight="1" x14ac:dyDescent="0.2">
      <c r="A1" s="69"/>
      <c r="B1" s="474" t="s">
        <v>532</v>
      </c>
      <c r="C1" s="320"/>
      <c r="D1" s="320"/>
      <c r="E1" s="320"/>
      <c r="F1" s="320"/>
      <c r="G1" s="320"/>
      <c r="H1" s="320"/>
      <c r="I1" s="320"/>
      <c r="J1" s="320"/>
      <c r="K1" s="320"/>
      <c r="L1" s="320"/>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469</v>
      </c>
      <c r="D3" s="1043"/>
      <c r="E3" s="744" t="s">
        <v>17</v>
      </c>
      <c r="F3" s="745" t="s">
        <v>104</v>
      </c>
      <c r="G3" s="744" t="s">
        <v>17</v>
      </c>
      <c r="H3" s="745" t="s">
        <v>104</v>
      </c>
      <c r="I3" s="744" t="s">
        <v>17</v>
      </c>
      <c r="J3" s="745" t="s">
        <v>104</v>
      </c>
      <c r="K3" s="744" t="s">
        <v>17</v>
      </c>
      <c r="L3" s="745" t="s">
        <v>104</v>
      </c>
    </row>
    <row r="4" spans="1:12" ht="13.35" customHeight="1" x14ac:dyDescent="0.2">
      <c r="B4" s="145"/>
      <c r="C4" s="16" t="s">
        <v>18</v>
      </c>
      <c r="D4" s="338" t="s">
        <v>470</v>
      </c>
      <c r="E4" s="654">
        <v>907942</v>
      </c>
      <c r="F4" s="655">
        <v>1951.0586169999999</v>
      </c>
      <c r="G4" s="654">
        <v>876667</v>
      </c>
      <c r="H4" s="655">
        <v>1963.3789979999999</v>
      </c>
      <c r="I4" s="654">
        <v>242181</v>
      </c>
      <c r="J4" s="655">
        <v>580.52003200000001</v>
      </c>
      <c r="K4" s="654">
        <v>220761</v>
      </c>
      <c r="L4" s="655">
        <v>533.436646</v>
      </c>
    </row>
    <row r="5" spans="1:12" ht="13.35" customHeight="1" x14ac:dyDescent="0.2">
      <c r="B5" s="145"/>
      <c r="C5" s="16" t="s">
        <v>19</v>
      </c>
      <c r="D5" s="338" t="s">
        <v>482</v>
      </c>
      <c r="E5" s="654">
        <v>544460</v>
      </c>
      <c r="F5" s="655">
        <v>3867.4265140000002</v>
      </c>
      <c r="G5" s="654">
        <v>548584</v>
      </c>
      <c r="H5" s="655">
        <v>4000.9517999999998</v>
      </c>
      <c r="I5" s="654">
        <v>635402</v>
      </c>
      <c r="J5" s="655">
        <v>4968.9251100000001</v>
      </c>
      <c r="K5" s="654">
        <v>621287</v>
      </c>
      <c r="L5" s="655">
        <v>5091.43469</v>
      </c>
    </row>
    <row r="6" spans="1:12" ht="13.35" customHeight="1" x14ac:dyDescent="0.2">
      <c r="B6" s="145"/>
      <c r="C6" s="16" t="s">
        <v>20</v>
      </c>
      <c r="D6" s="338" t="s">
        <v>483</v>
      </c>
      <c r="E6" s="654">
        <v>263093</v>
      </c>
      <c r="F6" s="655">
        <v>3294.0865269999999</v>
      </c>
      <c r="G6" s="654">
        <v>287179</v>
      </c>
      <c r="H6" s="655">
        <v>3650.74827</v>
      </c>
      <c r="I6" s="654">
        <v>242919</v>
      </c>
      <c r="J6" s="655">
        <v>3044.4327020000001</v>
      </c>
      <c r="K6" s="654">
        <v>217108</v>
      </c>
      <c r="L6" s="655">
        <v>2700.6381929999998</v>
      </c>
    </row>
    <row r="7" spans="1:12" ht="13.35" customHeight="1" x14ac:dyDescent="0.2">
      <c r="B7" s="145"/>
      <c r="C7" s="16" t="s">
        <v>21</v>
      </c>
      <c r="D7" s="338" t="s">
        <v>455</v>
      </c>
      <c r="E7" s="654">
        <v>159044</v>
      </c>
      <c r="F7" s="655">
        <v>2769.3927979999999</v>
      </c>
      <c r="G7" s="654">
        <v>176529</v>
      </c>
      <c r="H7" s="655">
        <v>3115.3746500000002</v>
      </c>
      <c r="I7" s="654">
        <v>526898</v>
      </c>
      <c r="J7" s="655">
        <v>8846.7130880000004</v>
      </c>
      <c r="K7" s="654">
        <v>521669</v>
      </c>
      <c r="L7" s="655">
        <v>9081.3822619999992</v>
      </c>
    </row>
    <row r="8" spans="1:12" ht="13.35" customHeight="1" x14ac:dyDescent="0.2">
      <c r="B8" s="145"/>
      <c r="C8" s="16" t="s">
        <v>22</v>
      </c>
      <c r="D8" s="338" t="s">
        <v>472</v>
      </c>
      <c r="E8" s="654">
        <v>117965</v>
      </c>
      <c r="F8" s="655">
        <v>2625.1244379999998</v>
      </c>
      <c r="G8" s="654">
        <v>138912</v>
      </c>
      <c r="H8" s="655">
        <v>3152.7501830000001</v>
      </c>
      <c r="I8" s="654">
        <v>415935</v>
      </c>
      <c r="J8" s="655">
        <v>9087.7990919999993</v>
      </c>
      <c r="K8" s="654">
        <v>411389</v>
      </c>
      <c r="L8" s="655">
        <v>9259.7002840000005</v>
      </c>
    </row>
    <row r="9" spans="1:12" ht="13.35" customHeight="1" x14ac:dyDescent="0.2">
      <c r="B9" s="145"/>
      <c r="C9" s="16" t="s">
        <v>23</v>
      </c>
      <c r="D9" s="338" t="s">
        <v>471</v>
      </c>
      <c r="E9" s="654">
        <v>69286</v>
      </c>
      <c r="F9" s="655">
        <v>1885.4244610000001</v>
      </c>
      <c r="G9" s="654">
        <v>86888</v>
      </c>
      <c r="H9" s="655">
        <v>2387.8640059999998</v>
      </c>
      <c r="I9" s="654">
        <v>347877</v>
      </c>
      <c r="J9" s="655">
        <v>9321.8233</v>
      </c>
      <c r="K9" s="654">
        <v>350503</v>
      </c>
      <c r="L9" s="655">
        <v>9664.3015510000005</v>
      </c>
    </row>
    <row r="10" spans="1:12" ht="13.35" customHeight="1" x14ac:dyDescent="0.2">
      <c r="B10" s="145"/>
      <c r="C10" s="16" t="s">
        <v>24</v>
      </c>
      <c r="D10" s="338" t="s">
        <v>473</v>
      </c>
      <c r="E10" s="654">
        <v>43837</v>
      </c>
      <c r="F10" s="655">
        <v>1417.3249860000001</v>
      </c>
      <c r="G10" s="654">
        <v>55799</v>
      </c>
      <c r="H10" s="655">
        <v>1806.6056610000001</v>
      </c>
      <c r="I10" s="654">
        <v>189472</v>
      </c>
      <c r="J10" s="655">
        <v>6056.3304179999996</v>
      </c>
      <c r="K10" s="654">
        <v>209988</v>
      </c>
      <c r="L10" s="655">
        <v>6827.8275739999999</v>
      </c>
    </row>
    <row r="11" spans="1:12" s="50" customFormat="1" ht="13.35" customHeight="1" x14ac:dyDescent="0.2">
      <c r="B11" s="145"/>
      <c r="C11" s="16" t="s">
        <v>25</v>
      </c>
      <c r="D11" s="338" t="s">
        <v>474</v>
      </c>
      <c r="E11" s="654">
        <v>28947</v>
      </c>
      <c r="F11" s="655">
        <v>1080.276654</v>
      </c>
      <c r="G11" s="654">
        <v>38022</v>
      </c>
      <c r="H11" s="655">
        <v>1420.464886</v>
      </c>
      <c r="I11" s="654">
        <v>102042</v>
      </c>
      <c r="J11" s="655">
        <v>3788.8731050000001</v>
      </c>
      <c r="K11" s="654">
        <v>121558</v>
      </c>
      <c r="L11" s="655">
        <v>4550.3634069999998</v>
      </c>
    </row>
    <row r="12" spans="1:12" s="1" customFormat="1" ht="13.35" customHeight="1" x14ac:dyDescent="0.2">
      <c r="B12" s="631"/>
      <c r="C12" s="16" t="s">
        <v>26</v>
      </c>
      <c r="D12" s="338" t="s">
        <v>481</v>
      </c>
      <c r="E12" s="654">
        <v>19889</v>
      </c>
      <c r="F12" s="655">
        <v>841.98221799999999</v>
      </c>
      <c r="G12" s="654">
        <v>25949</v>
      </c>
      <c r="H12" s="655">
        <v>1098.9975669999999</v>
      </c>
      <c r="I12" s="654">
        <v>59264</v>
      </c>
      <c r="J12" s="655">
        <v>2505.1128979999999</v>
      </c>
      <c r="K12" s="654">
        <v>73610</v>
      </c>
      <c r="L12" s="655">
        <v>3117.206506</v>
      </c>
    </row>
    <row r="13" spans="1:12" s="1" customFormat="1" ht="13.35" customHeight="1" x14ac:dyDescent="0.2">
      <c r="B13" s="631"/>
      <c r="C13" s="16" t="s">
        <v>27</v>
      </c>
      <c r="D13" s="338" t="s">
        <v>475</v>
      </c>
      <c r="E13" s="654">
        <v>16130</v>
      </c>
      <c r="F13" s="655">
        <v>763.12373200000002</v>
      </c>
      <c r="G13" s="654">
        <v>18419</v>
      </c>
      <c r="H13" s="655">
        <v>872.153639</v>
      </c>
      <c r="I13" s="654">
        <v>37498</v>
      </c>
      <c r="J13" s="655">
        <v>1773.950343</v>
      </c>
      <c r="K13" s="654">
        <v>45572</v>
      </c>
      <c r="L13" s="655">
        <v>2158.0063030000001</v>
      </c>
    </row>
    <row r="14" spans="1:12" s="1" customFormat="1" ht="13.35" customHeight="1" x14ac:dyDescent="0.2">
      <c r="B14" s="631"/>
      <c r="C14" s="16" t="s">
        <v>28</v>
      </c>
      <c r="D14" s="338" t="s">
        <v>48</v>
      </c>
      <c r="E14" s="654">
        <v>18975</v>
      </c>
      <c r="F14" s="655">
        <v>1032.144526</v>
      </c>
      <c r="G14" s="654">
        <v>26239</v>
      </c>
      <c r="H14" s="655">
        <v>1428.7166689999999</v>
      </c>
      <c r="I14" s="654">
        <v>44462</v>
      </c>
      <c r="J14" s="655">
        <v>2423.296644</v>
      </c>
      <c r="K14" s="654">
        <v>50549</v>
      </c>
      <c r="L14" s="655">
        <v>2746.7016519999997</v>
      </c>
    </row>
    <row r="15" spans="1:12" s="1" customFormat="1" ht="13.35" customHeight="1" x14ac:dyDescent="0.2">
      <c r="B15" s="631"/>
      <c r="C15" s="16" t="s">
        <v>29</v>
      </c>
      <c r="D15" s="338" t="s">
        <v>49</v>
      </c>
      <c r="E15" s="654">
        <v>9190</v>
      </c>
      <c r="F15" s="655">
        <v>592.60064899999998</v>
      </c>
      <c r="G15" s="654">
        <v>13121</v>
      </c>
      <c r="H15" s="655">
        <v>845.96466000000009</v>
      </c>
      <c r="I15" s="654">
        <v>22799</v>
      </c>
      <c r="J15" s="655">
        <v>1468.4984079999999</v>
      </c>
      <c r="K15" s="654">
        <v>29184</v>
      </c>
      <c r="L15" s="655">
        <v>1878.5941400000002</v>
      </c>
    </row>
    <row r="16" spans="1:12" customFormat="1" ht="13.35" customHeight="1" x14ac:dyDescent="0.2">
      <c r="A16" s="1"/>
      <c r="B16" s="631"/>
      <c r="C16" s="16" t="s">
        <v>30</v>
      </c>
      <c r="D16" s="338" t="s">
        <v>50</v>
      </c>
      <c r="E16" s="654">
        <v>4810</v>
      </c>
      <c r="F16" s="655">
        <v>357.64927699999998</v>
      </c>
      <c r="G16" s="654">
        <v>6845</v>
      </c>
      <c r="H16" s="655">
        <v>509.92972500000002</v>
      </c>
      <c r="I16" s="654">
        <v>11107</v>
      </c>
      <c r="J16" s="655">
        <v>826.53635599999996</v>
      </c>
      <c r="K16" s="654">
        <v>14118</v>
      </c>
      <c r="L16" s="655">
        <v>1051.156935</v>
      </c>
    </row>
    <row r="17" spans="1:12" customFormat="1" ht="13.35" customHeight="1" x14ac:dyDescent="0.2">
      <c r="A17" s="1"/>
      <c r="B17" s="631"/>
      <c r="C17" s="16" t="s">
        <v>31</v>
      </c>
      <c r="D17" s="338" t="s">
        <v>51</v>
      </c>
      <c r="E17" s="654">
        <v>2394</v>
      </c>
      <c r="F17" s="655">
        <v>202.504684</v>
      </c>
      <c r="G17" s="654">
        <v>3699</v>
      </c>
      <c r="H17" s="655">
        <v>312.20442200000002</v>
      </c>
      <c r="I17" s="654">
        <v>5720</v>
      </c>
      <c r="J17" s="655">
        <v>483.311171</v>
      </c>
      <c r="K17" s="654">
        <v>7288</v>
      </c>
      <c r="L17" s="655">
        <v>615.92519900000002</v>
      </c>
    </row>
    <row r="18" spans="1:12" customFormat="1" ht="13.35" customHeight="1" x14ac:dyDescent="0.2">
      <c r="A18" s="1"/>
      <c r="B18" s="631"/>
      <c r="C18" s="16" t="s">
        <v>32</v>
      </c>
      <c r="D18" s="338" t="s">
        <v>52</v>
      </c>
      <c r="E18" s="654">
        <v>1348</v>
      </c>
      <c r="F18" s="655">
        <v>127.553697</v>
      </c>
      <c r="G18" s="654">
        <v>2034</v>
      </c>
      <c r="H18" s="655">
        <v>192.48674699999998</v>
      </c>
      <c r="I18" s="654">
        <v>3430</v>
      </c>
      <c r="J18" s="655">
        <v>324.120135</v>
      </c>
      <c r="K18" s="654">
        <v>3964</v>
      </c>
      <c r="L18" s="655">
        <v>375.06997000000001</v>
      </c>
    </row>
    <row r="19" spans="1:12" customFormat="1" ht="13.35" customHeight="1" x14ac:dyDescent="0.2">
      <c r="A19" s="1"/>
      <c r="B19" s="631"/>
      <c r="C19" s="16" t="s">
        <v>33</v>
      </c>
      <c r="D19" s="338" t="s">
        <v>476</v>
      </c>
      <c r="E19" s="654">
        <v>1320</v>
      </c>
      <c r="F19" s="655">
        <v>143.280562</v>
      </c>
      <c r="G19" s="654">
        <v>1854</v>
      </c>
      <c r="H19" s="655">
        <v>200.67099300000001</v>
      </c>
      <c r="I19" s="654">
        <v>2802</v>
      </c>
      <c r="J19" s="655">
        <v>303.34067899999997</v>
      </c>
      <c r="K19" s="654">
        <v>3521</v>
      </c>
      <c r="L19" s="655">
        <v>380.94121799999999</v>
      </c>
    </row>
    <row r="20" spans="1:12" customFormat="1" ht="13.35" customHeight="1" x14ac:dyDescent="0.2">
      <c r="A20" s="1"/>
      <c r="B20" s="631"/>
      <c r="C20" s="16" t="s">
        <v>34</v>
      </c>
      <c r="D20" s="338" t="s">
        <v>477</v>
      </c>
      <c r="E20" s="654">
        <v>579</v>
      </c>
      <c r="F20" s="655">
        <v>74.650891999999999</v>
      </c>
      <c r="G20" s="654">
        <v>794</v>
      </c>
      <c r="H20" s="655">
        <v>102.20410699999999</v>
      </c>
      <c r="I20" s="654">
        <v>1194</v>
      </c>
      <c r="J20" s="655">
        <v>154.09407799999997</v>
      </c>
      <c r="K20" s="654">
        <v>1313</v>
      </c>
      <c r="L20" s="655">
        <v>169.02920800000001</v>
      </c>
    </row>
    <row r="21" spans="1:12" customFormat="1" ht="13.35" customHeight="1" x14ac:dyDescent="0.2">
      <c r="A21" s="1"/>
      <c r="B21" s="631"/>
      <c r="C21" s="16" t="s">
        <v>35</v>
      </c>
      <c r="D21" s="338" t="s">
        <v>478</v>
      </c>
      <c r="E21" s="654">
        <v>352</v>
      </c>
      <c r="F21" s="655">
        <v>52.314771</v>
      </c>
      <c r="G21" s="654">
        <v>440</v>
      </c>
      <c r="H21" s="655">
        <v>65.535325</v>
      </c>
      <c r="I21" s="654">
        <v>562</v>
      </c>
      <c r="J21" s="655">
        <v>83.751170000000002</v>
      </c>
      <c r="K21" s="654">
        <v>624</v>
      </c>
      <c r="L21" s="655">
        <v>92.699930000000009</v>
      </c>
    </row>
    <row r="22" spans="1:12" customFormat="1" ht="13.35" customHeight="1" x14ac:dyDescent="0.2">
      <c r="A22" s="1"/>
      <c r="B22" s="631"/>
      <c r="C22" s="16" t="s">
        <v>36</v>
      </c>
      <c r="D22" s="338" t="s">
        <v>479</v>
      </c>
      <c r="E22" s="654">
        <v>209</v>
      </c>
      <c r="F22" s="655">
        <v>35.540495999999997</v>
      </c>
      <c r="G22" s="654">
        <v>248</v>
      </c>
      <c r="H22" s="655">
        <v>42.025204000000002</v>
      </c>
      <c r="I22" s="654">
        <v>307</v>
      </c>
      <c r="J22" s="655">
        <v>51.666119000000002</v>
      </c>
      <c r="K22" s="654">
        <v>324</v>
      </c>
      <c r="L22" s="655">
        <v>54.817060999999995</v>
      </c>
    </row>
    <row r="23" spans="1:12" customFormat="1" ht="13.35" customHeight="1" x14ac:dyDescent="0.2">
      <c r="A23" s="1"/>
      <c r="B23" s="631"/>
      <c r="C23" s="16" t="s">
        <v>37</v>
      </c>
      <c r="D23" s="338" t="s">
        <v>480</v>
      </c>
      <c r="E23" s="654">
        <v>352</v>
      </c>
      <c r="F23" s="655">
        <v>76.559353999999999</v>
      </c>
      <c r="G23" s="654">
        <v>449</v>
      </c>
      <c r="H23" s="655">
        <v>97.622308000000004</v>
      </c>
      <c r="I23" s="654">
        <v>546</v>
      </c>
      <c r="J23" s="655">
        <v>120.288487</v>
      </c>
      <c r="K23" s="654">
        <v>514</v>
      </c>
      <c r="L23" s="655">
        <v>111.64883399999999</v>
      </c>
    </row>
    <row r="24" spans="1:12" customFormat="1" ht="13.35" customHeight="1" x14ac:dyDescent="0.2">
      <c r="A24" s="1"/>
      <c r="B24" s="631"/>
      <c r="C24" s="16" t="s">
        <v>38</v>
      </c>
      <c r="D24" s="338" t="s">
        <v>484</v>
      </c>
      <c r="E24" s="654">
        <f t="shared" ref="E24:L24" si="0">E33</f>
        <v>538</v>
      </c>
      <c r="F24" s="655">
        <f t="shared" si="0"/>
        <v>77.053882000000002</v>
      </c>
      <c r="G24" s="654">
        <f t="shared" si="0"/>
        <v>481</v>
      </c>
      <c r="H24" s="655">
        <f t="shared" si="0"/>
        <v>89.113180999999997</v>
      </c>
      <c r="I24" s="654">
        <f t="shared" si="0"/>
        <v>897</v>
      </c>
      <c r="J24" s="655">
        <f t="shared" si="0"/>
        <v>158.31389899999999</v>
      </c>
      <c r="K24" s="654">
        <f t="shared" si="0"/>
        <v>374</v>
      </c>
      <c r="L24" s="655">
        <f t="shared" si="0"/>
        <v>148.16953499999997</v>
      </c>
    </row>
    <row r="25" spans="1:12" customFormat="1" ht="13.35" customHeight="1" x14ac:dyDescent="0.2">
      <c r="A25" s="1"/>
      <c r="B25" s="748"/>
      <c r="C25" s="590" t="s">
        <v>8</v>
      </c>
      <c r="D25" s="749"/>
      <c r="E25" s="750">
        <f t="shared" ref="E25:L25" si="1">SUM(E4:E24)</f>
        <v>2210660</v>
      </c>
      <c r="F25" s="751">
        <f t="shared" si="1"/>
        <v>23267.073735000005</v>
      </c>
      <c r="G25" s="750">
        <f t="shared" si="1"/>
        <v>2309152</v>
      </c>
      <c r="H25" s="751">
        <f t="shared" si="1"/>
        <v>27355.763001000007</v>
      </c>
      <c r="I25" s="750">
        <f t="shared" si="1"/>
        <v>2893314</v>
      </c>
      <c r="J25" s="751">
        <f t="shared" si="1"/>
        <v>56371.697233999992</v>
      </c>
      <c r="K25" s="750">
        <f t="shared" si="1"/>
        <v>2905218</v>
      </c>
      <c r="L25" s="751">
        <f t="shared" si="1"/>
        <v>60609.051098000004</v>
      </c>
    </row>
    <row r="26" spans="1:12" s="1" customFormat="1" ht="13.35" customHeight="1" x14ac:dyDescent="0.2">
      <c r="B26" s="645"/>
      <c r="C26" s="645"/>
    </row>
    <row r="27" spans="1:12" s="1" customFormat="1" ht="13.35" customHeight="1" x14ac:dyDescent="0.2"/>
    <row r="28" spans="1:12" customFormat="1" ht="13.35" customHeight="1" x14ac:dyDescent="0.2">
      <c r="A28" s="1"/>
      <c r="G28" s="352" t="s">
        <v>371</v>
      </c>
      <c r="I28" s="1"/>
    </row>
    <row r="29" spans="1:12" customFormat="1" ht="13.35" customHeight="1" x14ac:dyDescent="0.2">
      <c r="A29" s="1"/>
      <c r="I29" s="1"/>
    </row>
    <row r="30" spans="1:12" customFormat="1" ht="13.35" hidden="1" customHeight="1" x14ac:dyDescent="0.2">
      <c r="A30" s="1"/>
      <c r="D30" s="106" t="s">
        <v>227</v>
      </c>
      <c r="E30" s="84">
        <f>A2.7.1!E8-E25</f>
        <v>0</v>
      </c>
      <c r="F30" s="84">
        <f>A2.7.1!F8-F25</f>
        <v>0</v>
      </c>
      <c r="G30" s="84">
        <f>A2.7.1!G8-G25</f>
        <v>0</v>
      </c>
      <c r="H30" s="84">
        <f>A2.7.1!H8-H25</f>
        <v>0</v>
      </c>
      <c r="I30" s="84">
        <f>A2.7.1!I8-I25</f>
        <v>0</v>
      </c>
      <c r="J30" s="84">
        <f>A2.7.1!J8-J25</f>
        <v>0</v>
      </c>
      <c r="K30" s="84">
        <f>A2.7.1!K8-K25</f>
        <v>0</v>
      </c>
      <c r="L30" s="107">
        <f>A2.7.1!L8-L25</f>
        <v>0</v>
      </c>
    </row>
    <row r="31" spans="1:12" customFormat="1" ht="13.35" hidden="1" customHeight="1" x14ac:dyDescent="0.2">
      <c r="A31" s="1"/>
      <c r="I31" s="1"/>
    </row>
    <row r="32" spans="1:12" hidden="1" x14ac:dyDescent="0.2"/>
    <row r="33" spans="1:12" customFormat="1" ht="13.35" hidden="1" customHeight="1" x14ac:dyDescent="0.2">
      <c r="A33" s="1"/>
      <c r="D33" s="106" t="s">
        <v>484</v>
      </c>
      <c r="E33" s="84">
        <f t="shared" ref="E33:L33" si="2">SUM(E34:E36)</f>
        <v>538</v>
      </c>
      <c r="F33" s="84">
        <f t="shared" si="2"/>
        <v>77.053882000000002</v>
      </c>
      <c r="G33" s="84">
        <f t="shared" si="2"/>
        <v>481</v>
      </c>
      <c r="H33" s="84">
        <f t="shared" si="2"/>
        <v>89.113180999999997</v>
      </c>
      <c r="I33" s="84">
        <f t="shared" si="2"/>
        <v>897</v>
      </c>
      <c r="J33" s="84">
        <f t="shared" si="2"/>
        <v>158.31389899999999</v>
      </c>
      <c r="K33" s="84">
        <f t="shared" si="2"/>
        <v>374</v>
      </c>
      <c r="L33" s="107">
        <f t="shared" si="2"/>
        <v>148.16953499999997</v>
      </c>
    </row>
    <row r="34" spans="1:12" customFormat="1" ht="13.35" hidden="1" customHeight="1" x14ac:dyDescent="0.2">
      <c r="A34" s="1"/>
      <c r="D34" s="756" t="s">
        <v>484</v>
      </c>
      <c r="E34" s="198">
        <v>127</v>
      </c>
      <c r="F34" s="198">
        <v>80.853190999999995</v>
      </c>
      <c r="G34" s="198">
        <v>159</v>
      </c>
      <c r="H34" s="198">
        <v>92.255887000000001</v>
      </c>
      <c r="I34" s="198">
        <v>240</v>
      </c>
      <c r="J34" s="198">
        <v>161.70319599999999</v>
      </c>
      <c r="K34" s="198">
        <v>199</v>
      </c>
      <c r="L34" s="199">
        <v>150.41094099999998</v>
      </c>
    </row>
    <row r="35" spans="1:12" customFormat="1" ht="13.35" hidden="1" customHeight="1" x14ac:dyDescent="0.2">
      <c r="A35" s="1"/>
      <c r="D35" s="756" t="s">
        <v>451</v>
      </c>
      <c r="E35" s="198">
        <v>411</v>
      </c>
      <c r="F35" s="198">
        <v>-3.799309</v>
      </c>
      <c r="G35" s="198">
        <v>322</v>
      </c>
      <c r="H35" s="198">
        <v>-3.142706</v>
      </c>
      <c r="I35" s="198">
        <v>657</v>
      </c>
      <c r="J35" s="198">
        <v>-3.389297</v>
      </c>
      <c r="K35" s="198">
        <v>175</v>
      </c>
      <c r="L35" s="199">
        <v>-2.241406</v>
      </c>
    </row>
    <row r="36" spans="1:12" customFormat="1" ht="13.35" hidden="1" customHeight="1" x14ac:dyDescent="0.2">
      <c r="A36" s="1"/>
      <c r="D36" s="755" t="s">
        <v>231</v>
      </c>
      <c r="E36" s="200">
        <v>0</v>
      </c>
      <c r="F36" s="200">
        <v>0</v>
      </c>
      <c r="G36" s="200">
        <v>0</v>
      </c>
      <c r="H36" s="200">
        <v>0</v>
      </c>
      <c r="I36" s="200">
        <v>0</v>
      </c>
      <c r="J36" s="200">
        <v>0</v>
      </c>
      <c r="K36" s="200">
        <v>0</v>
      </c>
      <c r="L36" s="201">
        <v>0</v>
      </c>
    </row>
    <row r="37" spans="1:12" hidden="1" x14ac:dyDescent="0.2"/>
  </sheetData>
  <mergeCells count="2">
    <mergeCell ref="C3:D3"/>
    <mergeCell ref="K2:L2"/>
  </mergeCells>
  <hyperlinks>
    <hyperlink ref="G28"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38"/>
  <sheetViews>
    <sheetView showGridLines="0" zoomScaleNormal="100" zoomScaleSheetLayoutView="90" workbookViewId="0"/>
  </sheetViews>
  <sheetFormatPr defaultColWidth="9.140625" defaultRowHeight="12.75" x14ac:dyDescent="0.2"/>
  <cols>
    <col min="1" max="1" width="3.7109375" style="50" customWidth="1"/>
    <col min="2" max="2" width="0.85546875" customWidth="1"/>
    <col min="3" max="3" width="2.7109375" style="2" customWidth="1"/>
    <col min="4" max="4" width="22.28515625" style="2" customWidth="1"/>
    <col min="5" max="6" width="12.7109375" style="2" customWidth="1"/>
    <col min="7" max="7" width="12.7109375" style="14" customWidth="1"/>
    <col min="8" max="12" width="12.7109375" style="6" customWidth="1"/>
    <col min="13" max="16384" width="9.140625" style="10"/>
  </cols>
  <sheetData>
    <row r="1" spans="1:12" s="8" customFormat="1" ht="24.95" customHeight="1" x14ac:dyDescent="0.2">
      <c r="A1" s="69"/>
      <c r="B1" s="1044" t="s">
        <v>533</v>
      </c>
      <c r="C1" s="1044"/>
      <c r="D1" s="1044"/>
      <c r="E1" s="1044"/>
      <c r="F1" s="1044"/>
      <c r="G1" s="1044"/>
      <c r="H1" s="1044"/>
      <c r="I1" s="1044"/>
      <c r="J1" s="1044"/>
      <c r="K1" s="1044"/>
      <c r="L1" s="1044"/>
    </row>
    <row r="2" spans="1:12" s="8" customFormat="1" ht="15" customHeight="1" x14ac:dyDescent="0.2">
      <c r="A2" s="69"/>
      <c r="B2" s="463"/>
      <c r="C2" s="464" t="s">
        <v>168</v>
      </c>
      <c r="D2" s="526"/>
      <c r="E2" s="466" t="s">
        <v>576</v>
      </c>
      <c r="F2" s="468"/>
      <c r="G2" s="469" t="s">
        <v>577</v>
      </c>
      <c r="H2" s="468"/>
      <c r="I2" s="469" t="s">
        <v>578</v>
      </c>
      <c r="J2" s="468"/>
      <c r="K2" s="1033" t="s">
        <v>579</v>
      </c>
      <c r="L2" s="1020"/>
    </row>
    <row r="3" spans="1:12" ht="24.95" customHeight="1" x14ac:dyDescent="0.2">
      <c r="B3" s="470"/>
      <c r="C3" s="1042" t="s">
        <v>469</v>
      </c>
      <c r="D3" s="1043"/>
      <c r="E3" s="757" t="s">
        <v>17</v>
      </c>
      <c r="F3" s="758" t="s">
        <v>104</v>
      </c>
      <c r="G3" s="757" t="s">
        <v>17</v>
      </c>
      <c r="H3" s="758" t="s">
        <v>104</v>
      </c>
      <c r="I3" s="757" t="s">
        <v>17</v>
      </c>
      <c r="J3" s="758" t="s">
        <v>104</v>
      </c>
      <c r="K3" s="757" t="s">
        <v>17</v>
      </c>
      <c r="L3" s="758" t="s">
        <v>104</v>
      </c>
    </row>
    <row r="4" spans="1:12" ht="13.35" customHeight="1" x14ac:dyDescent="0.2">
      <c r="B4" s="145"/>
      <c r="C4" s="16" t="s">
        <v>18</v>
      </c>
      <c r="D4" s="338" t="s">
        <v>470</v>
      </c>
      <c r="E4" s="654">
        <v>27669</v>
      </c>
      <c r="F4" s="655">
        <v>73.533107999999999</v>
      </c>
      <c r="G4" s="654">
        <v>23541</v>
      </c>
      <c r="H4" s="655">
        <v>62.761266999999997</v>
      </c>
      <c r="I4" s="654">
        <v>20841</v>
      </c>
      <c r="J4" s="655">
        <v>55.457102999999996</v>
      </c>
      <c r="K4" s="654">
        <v>18558</v>
      </c>
      <c r="L4" s="655">
        <v>49.334172000000002</v>
      </c>
    </row>
    <row r="5" spans="1:12" ht="13.35" customHeight="1" x14ac:dyDescent="0.2">
      <c r="B5" s="145"/>
      <c r="C5" s="16" t="s">
        <v>19</v>
      </c>
      <c r="D5" s="338" t="s">
        <v>482</v>
      </c>
      <c r="E5" s="654">
        <v>32470</v>
      </c>
      <c r="F5" s="655">
        <v>246.00723500000001</v>
      </c>
      <c r="G5" s="654">
        <v>27903</v>
      </c>
      <c r="H5" s="655">
        <v>211.46761799999999</v>
      </c>
      <c r="I5" s="654">
        <v>23102</v>
      </c>
      <c r="J5" s="655">
        <v>174.085553</v>
      </c>
      <c r="K5" s="654">
        <v>20422</v>
      </c>
      <c r="L5" s="655">
        <v>154.04078200000001</v>
      </c>
    </row>
    <row r="6" spans="1:12" ht="13.35" customHeight="1" x14ac:dyDescent="0.2">
      <c r="B6" s="145"/>
      <c r="C6" s="16" t="s">
        <v>20</v>
      </c>
      <c r="D6" s="338" t="s">
        <v>483</v>
      </c>
      <c r="E6" s="654">
        <v>37839</v>
      </c>
      <c r="F6" s="655">
        <v>475.34908999999999</v>
      </c>
      <c r="G6" s="654">
        <v>32593</v>
      </c>
      <c r="H6" s="655">
        <v>409.07479899999998</v>
      </c>
      <c r="I6" s="654">
        <v>24706</v>
      </c>
      <c r="J6" s="655">
        <v>309.28873199999998</v>
      </c>
      <c r="K6" s="654">
        <v>22110</v>
      </c>
      <c r="L6" s="655">
        <v>275.844537</v>
      </c>
    </row>
    <row r="7" spans="1:12" ht="13.35" customHeight="1" x14ac:dyDescent="0.2">
      <c r="B7" s="145"/>
      <c r="C7" s="16" t="s">
        <v>21</v>
      </c>
      <c r="D7" s="338" t="s">
        <v>455</v>
      </c>
      <c r="E7" s="654">
        <v>40547</v>
      </c>
      <c r="F7" s="655">
        <v>712.95648600000004</v>
      </c>
      <c r="G7" s="654">
        <v>35094</v>
      </c>
      <c r="H7" s="655">
        <v>617.75145299999997</v>
      </c>
      <c r="I7" s="654">
        <v>23394</v>
      </c>
      <c r="J7" s="655">
        <v>411.66704600000003</v>
      </c>
      <c r="K7" s="654">
        <v>21203</v>
      </c>
      <c r="L7" s="655">
        <v>372.96580499999999</v>
      </c>
    </row>
    <row r="8" spans="1:12" ht="13.35" customHeight="1" x14ac:dyDescent="0.2">
      <c r="B8" s="145"/>
      <c r="C8" s="16" t="s">
        <v>22</v>
      </c>
      <c r="D8" s="338" t="s">
        <v>472</v>
      </c>
      <c r="E8" s="654">
        <v>46085</v>
      </c>
      <c r="F8" s="655">
        <v>1047.978936</v>
      </c>
      <c r="G8" s="654">
        <v>39398</v>
      </c>
      <c r="H8" s="655">
        <v>895.83940099999995</v>
      </c>
      <c r="I8" s="654">
        <v>25335</v>
      </c>
      <c r="J8" s="655">
        <v>575.64174800000001</v>
      </c>
      <c r="K8" s="654">
        <v>22855</v>
      </c>
      <c r="L8" s="655">
        <v>519.65197899999998</v>
      </c>
    </row>
    <row r="9" spans="1:12" ht="13.35" customHeight="1" x14ac:dyDescent="0.2">
      <c r="B9" s="145"/>
      <c r="C9" s="16" t="s">
        <v>23</v>
      </c>
      <c r="D9" s="338" t="s">
        <v>471</v>
      </c>
      <c r="E9" s="654">
        <v>43999</v>
      </c>
      <c r="F9" s="655">
        <v>1226.0281210000001</v>
      </c>
      <c r="G9" s="654">
        <v>38353</v>
      </c>
      <c r="H9" s="655">
        <v>1068.729096</v>
      </c>
      <c r="I9" s="654">
        <v>24306</v>
      </c>
      <c r="J9" s="655">
        <v>674.79902200000004</v>
      </c>
      <c r="K9" s="654">
        <v>22154</v>
      </c>
      <c r="L9" s="655">
        <v>614.55149100000006</v>
      </c>
    </row>
    <row r="10" spans="1:12" ht="13.35" customHeight="1" x14ac:dyDescent="0.2">
      <c r="B10" s="145"/>
      <c r="C10" s="16" t="s">
        <v>24</v>
      </c>
      <c r="D10" s="338" t="s">
        <v>473</v>
      </c>
      <c r="E10" s="654">
        <v>33645</v>
      </c>
      <c r="F10" s="655">
        <v>1098.5638739999999</v>
      </c>
      <c r="G10" s="654">
        <v>30341</v>
      </c>
      <c r="H10" s="655">
        <v>989.63407099999995</v>
      </c>
      <c r="I10" s="654">
        <v>21033</v>
      </c>
      <c r="J10" s="655">
        <v>684.50653899999998</v>
      </c>
      <c r="K10" s="654">
        <v>19525</v>
      </c>
      <c r="L10" s="655">
        <v>635.03632900000002</v>
      </c>
    </row>
    <row r="11" spans="1:12" s="50" customFormat="1" ht="13.35" customHeight="1" x14ac:dyDescent="0.2">
      <c r="B11" s="145"/>
      <c r="C11" s="16" t="s">
        <v>25</v>
      </c>
      <c r="D11" s="338" t="s">
        <v>474</v>
      </c>
      <c r="E11" s="654">
        <v>37199</v>
      </c>
      <c r="F11" s="655">
        <v>1383.4285400000001</v>
      </c>
      <c r="G11" s="654">
        <v>34329</v>
      </c>
      <c r="H11" s="655">
        <v>1277.395896</v>
      </c>
      <c r="I11" s="654">
        <v>24275</v>
      </c>
      <c r="J11" s="655">
        <v>906.49370399999998</v>
      </c>
      <c r="K11" s="654">
        <v>22462</v>
      </c>
      <c r="L11" s="655">
        <v>838.76799400000004</v>
      </c>
    </row>
    <row r="12" spans="1:12" s="1" customFormat="1" ht="13.35" customHeight="1" x14ac:dyDescent="0.2">
      <c r="B12" s="631"/>
      <c r="C12" s="16" t="s">
        <v>26</v>
      </c>
      <c r="D12" s="338" t="s">
        <v>481</v>
      </c>
      <c r="E12" s="654">
        <v>32023</v>
      </c>
      <c r="F12" s="655">
        <v>1359.22604</v>
      </c>
      <c r="G12" s="654">
        <v>30384</v>
      </c>
      <c r="H12" s="655">
        <v>1289.926097</v>
      </c>
      <c r="I12" s="654">
        <v>21720</v>
      </c>
      <c r="J12" s="655">
        <v>923.43067299999996</v>
      </c>
      <c r="K12" s="654">
        <v>19510</v>
      </c>
      <c r="L12" s="655">
        <v>829.24312299999997</v>
      </c>
    </row>
    <row r="13" spans="1:12" s="1" customFormat="1" ht="13.35" customHeight="1" x14ac:dyDescent="0.2">
      <c r="B13" s="631"/>
      <c r="C13" s="16" t="s">
        <v>27</v>
      </c>
      <c r="D13" s="338" t="s">
        <v>475</v>
      </c>
      <c r="E13" s="654">
        <v>28312</v>
      </c>
      <c r="F13" s="655">
        <v>1348.45758</v>
      </c>
      <c r="G13" s="654">
        <v>27533</v>
      </c>
      <c r="H13" s="655">
        <v>1311.17543</v>
      </c>
      <c r="I13" s="654">
        <v>21504</v>
      </c>
      <c r="J13" s="655">
        <v>1023.638505</v>
      </c>
      <c r="K13" s="654">
        <v>20165</v>
      </c>
      <c r="L13" s="655">
        <v>959.66632400000003</v>
      </c>
    </row>
    <row r="14" spans="1:12" s="1" customFormat="1" ht="13.35" customHeight="1" x14ac:dyDescent="0.2">
      <c r="B14" s="631"/>
      <c r="C14" s="16" t="s">
        <v>28</v>
      </c>
      <c r="D14" s="338" t="s">
        <v>48</v>
      </c>
      <c r="E14" s="654">
        <v>51758</v>
      </c>
      <c r="F14" s="655">
        <v>2842.4870110000002</v>
      </c>
      <c r="G14" s="654">
        <v>49932</v>
      </c>
      <c r="H14" s="655">
        <v>2748.1544569999996</v>
      </c>
      <c r="I14" s="654">
        <v>38960</v>
      </c>
      <c r="J14" s="655">
        <v>2155.1924369999997</v>
      </c>
      <c r="K14" s="654">
        <v>36608</v>
      </c>
      <c r="L14" s="655">
        <v>2025.5535049999999</v>
      </c>
    </row>
    <row r="15" spans="1:12" s="1" customFormat="1" ht="13.35" customHeight="1" x14ac:dyDescent="0.2">
      <c r="B15" s="631"/>
      <c r="C15" s="16" t="s">
        <v>29</v>
      </c>
      <c r="D15" s="338" t="s">
        <v>49</v>
      </c>
      <c r="E15" s="654">
        <v>34250</v>
      </c>
      <c r="F15" s="655">
        <v>2218.9935210000003</v>
      </c>
      <c r="G15" s="654">
        <v>34651</v>
      </c>
      <c r="H15" s="655">
        <v>2245.9368489999997</v>
      </c>
      <c r="I15" s="654">
        <v>29386</v>
      </c>
      <c r="J15" s="655">
        <v>1907.18462</v>
      </c>
      <c r="K15" s="654">
        <v>29283</v>
      </c>
      <c r="L15" s="655">
        <v>1901.8010939999999</v>
      </c>
    </row>
    <row r="16" spans="1:12" customFormat="1" ht="13.35" customHeight="1" x14ac:dyDescent="0.2">
      <c r="A16" s="1"/>
      <c r="B16" s="631"/>
      <c r="C16" s="16" t="s">
        <v>30</v>
      </c>
      <c r="D16" s="338" t="s">
        <v>50</v>
      </c>
      <c r="E16" s="654">
        <v>26974</v>
      </c>
      <c r="F16" s="655">
        <v>2015.3565000000001</v>
      </c>
      <c r="G16" s="654">
        <v>27754</v>
      </c>
      <c r="H16" s="655">
        <v>2074.2062569999998</v>
      </c>
      <c r="I16" s="654">
        <v>24979</v>
      </c>
      <c r="J16" s="655">
        <v>1866.840322</v>
      </c>
      <c r="K16" s="654">
        <v>25090</v>
      </c>
      <c r="L16" s="655">
        <v>1874.8007729999999</v>
      </c>
    </row>
    <row r="17" spans="1:13" customFormat="1" ht="13.35" customHeight="1" x14ac:dyDescent="0.2">
      <c r="A17" s="1"/>
      <c r="B17" s="631"/>
      <c r="C17" s="16" t="s">
        <v>31</v>
      </c>
      <c r="D17" s="338" t="s">
        <v>51</v>
      </c>
      <c r="E17" s="654">
        <v>17035</v>
      </c>
      <c r="F17" s="655">
        <v>1446.0544689999999</v>
      </c>
      <c r="G17" s="654">
        <v>18191</v>
      </c>
      <c r="H17" s="655">
        <v>1544.1555389999999</v>
      </c>
      <c r="I17" s="654">
        <v>18403</v>
      </c>
      <c r="J17" s="655">
        <v>1561.1265080000001</v>
      </c>
      <c r="K17" s="654">
        <v>18847</v>
      </c>
      <c r="L17" s="655">
        <v>1599.5670620000001</v>
      </c>
    </row>
    <row r="18" spans="1:13" customFormat="1" ht="13.35" customHeight="1" x14ac:dyDescent="0.2">
      <c r="A18" s="1"/>
      <c r="B18" s="631"/>
      <c r="C18" s="16" t="s">
        <v>32</v>
      </c>
      <c r="D18" s="338" t="s">
        <v>52</v>
      </c>
      <c r="E18" s="654">
        <v>12758</v>
      </c>
      <c r="F18" s="655">
        <v>1210.439656</v>
      </c>
      <c r="G18" s="654">
        <v>13141</v>
      </c>
      <c r="H18" s="655">
        <v>1246.94219</v>
      </c>
      <c r="I18" s="654">
        <v>13660</v>
      </c>
      <c r="J18" s="655">
        <v>1295.507629</v>
      </c>
      <c r="K18" s="654">
        <v>13275</v>
      </c>
      <c r="L18" s="655">
        <v>1259.14329</v>
      </c>
    </row>
    <row r="19" spans="1:13" customFormat="1" ht="13.35" customHeight="1" x14ac:dyDescent="0.2">
      <c r="A19" s="1"/>
      <c r="B19" s="631"/>
      <c r="C19" s="16" t="s">
        <v>33</v>
      </c>
      <c r="D19" s="338" t="s">
        <v>476</v>
      </c>
      <c r="E19" s="654">
        <v>15332</v>
      </c>
      <c r="F19" s="655">
        <v>1671.896121</v>
      </c>
      <c r="G19" s="654">
        <v>16034</v>
      </c>
      <c r="H19" s="655">
        <v>1747.209822</v>
      </c>
      <c r="I19" s="654">
        <v>16815</v>
      </c>
      <c r="J19" s="655">
        <v>1835.373728</v>
      </c>
      <c r="K19" s="654">
        <v>16295</v>
      </c>
      <c r="L19" s="655">
        <v>1777.7598290000001</v>
      </c>
    </row>
    <row r="20" spans="1:13" customFormat="1" ht="13.35" customHeight="1" x14ac:dyDescent="0.2">
      <c r="A20" s="1"/>
      <c r="B20" s="631"/>
      <c r="C20" s="16" t="s">
        <v>34</v>
      </c>
      <c r="D20" s="338" t="s">
        <v>477</v>
      </c>
      <c r="E20" s="654">
        <v>6576</v>
      </c>
      <c r="F20" s="655">
        <v>845.92744300000004</v>
      </c>
      <c r="G20" s="654">
        <v>6816</v>
      </c>
      <c r="H20" s="655">
        <v>877.45227799999998</v>
      </c>
      <c r="I20" s="654">
        <v>7393</v>
      </c>
      <c r="J20" s="655">
        <v>951.56451200000015</v>
      </c>
      <c r="K20" s="654">
        <v>7298</v>
      </c>
      <c r="L20" s="655">
        <v>939.10208999999986</v>
      </c>
    </row>
    <row r="21" spans="1:13" customFormat="1" ht="13.35" customHeight="1" x14ac:dyDescent="0.2">
      <c r="A21" s="1"/>
      <c r="B21" s="631"/>
      <c r="C21" s="16" t="s">
        <v>35</v>
      </c>
      <c r="D21" s="338" t="s">
        <v>478</v>
      </c>
      <c r="E21" s="654">
        <v>2748</v>
      </c>
      <c r="F21" s="655">
        <v>408.12097599999998</v>
      </c>
      <c r="G21" s="654">
        <v>2979</v>
      </c>
      <c r="H21" s="655">
        <v>442.00759899999997</v>
      </c>
      <c r="I21" s="654">
        <v>3271</v>
      </c>
      <c r="J21" s="655">
        <v>486.16975199999996</v>
      </c>
      <c r="K21" s="654">
        <v>3185</v>
      </c>
      <c r="L21" s="655">
        <v>473.27912800000001</v>
      </c>
    </row>
    <row r="22" spans="1:13" customFormat="1" ht="13.35" customHeight="1" x14ac:dyDescent="0.2">
      <c r="A22" s="1"/>
      <c r="B22" s="631"/>
      <c r="C22" s="16" t="s">
        <v>36</v>
      </c>
      <c r="D22" s="338" t="s">
        <v>479</v>
      </c>
      <c r="E22" s="654">
        <v>1195</v>
      </c>
      <c r="F22" s="655">
        <v>202.02676199999999</v>
      </c>
      <c r="G22" s="654">
        <v>1215</v>
      </c>
      <c r="H22" s="655">
        <v>205.25474300000002</v>
      </c>
      <c r="I22" s="654">
        <v>1453</v>
      </c>
      <c r="J22" s="655">
        <v>245.03742699999998</v>
      </c>
      <c r="K22" s="654">
        <v>1397</v>
      </c>
      <c r="L22" s="655">
        <v>235.79431</v>
      </c>
    </row>
    <row r="23" spans="1:13" customFormat="1" ht="13.35" customHeight="1" x14ac:dyDescent="0.2">
      <c r="A23" s="1"/>
      <c r="B23" s="631"/>
      <c r="C23" s="16" t="s">
        <v>37</v>
      </c>
      <c r="D23" s="338" t="s">
        <v>480</v>
      </c>
      <c r="E23" s="654">
        <v>989</v>
      </c>
      <c r="F23" s="655">
        <v>205.380391</v>
      </c>
      <c r="G23" s="654">
        <v>1071</v>
      </c>
      <c r="H23" s="655">
        <v>221.87623299999998</v>
      </c>
      <c r="I23" s="654">
        <v>1191</v>
      </c>
      <c r="J23" s="655">
        <v>244.758263</v>
      </c>
      <c r="K23" s="654">
        <v>1188</v>
      </c>
      <c r="L23" s="655">
        <v>245.65156899999999</v>
      </c>
    </row>
    <row r="24" spans="1:13" customFormat="1" ht="13.35" customHeight="1" x14ac:dyDescent="0.2">
      <c r="A24" s="1"/>
      <c r="B24" s="631"/>
      <c r="C24" s="16" t="s">
        <v>38</v>
      </c>
      <c r="D24" s="338" t="s">
        <v>484</v>
      </c>
      <c r="E24" s="654">
        <f t="shared" ref="E24:L24" si="0">E33</f>
        <v>46</v>
      </c>
      <c r="F24" s="655">
        <f t="shared" si="0"/>
        <v>15.646469</v>
      </c>
      <c r="G24" s="654">
        <f t="shared" si="0"/>
        <v>41</v>
      </c>
      <c r="H24" s="655">
        <f t="shared" si="0"/>
        <v>13.842739999999999</v>
      </c>
      <c r="I24" s="654">
        <f t="shared" si="0"/>
        <v>62</v>
      </c>
      <c r="J24" s="655">
        <f t="shared" si="0"/>
        <v>21.521681000000001</v>
      </c>
      <c r="K24" s="654">
        <f t="shared" si="0"/>
        <v>64</v>
      </c>
      <c r="L24" s="655">
        <f t="shared" si="0"/>
        <v>22.412944</v>
      </c>
    </row>
    <row r="25" spans="1:13" customFormat="1" ht="13.35" customHeight="1" x14ac:dyDescent="0.2">
      <c r="A25" s="1"/>
      <c r="B25" s="748"/>
      <c r="C25" s="590" t="s">
        <v>8</v>
      </c>
      <c r="D25" s="749"/>
      <c r="E25" s="750">
        <f t="shared" ref="E25:L25" si="1">SUM(E4:E24)</f>
        <v>529449</v>
      </c>
      <c r="F25" s="751">
        <f t="shared" si="1"/>
        <v>22053.858328999999</v>
      </c>
      <c r="G25" s="750">
        <f t="shared" si="1"/>
        <v>491294</v>
      </c>
      <c r="H25" s="751">
        <f t="shared" si="1"/>
        <v>21500.793835000004</v>
      </c>
      <c r="I25" s="750">
        <f t="shared" si="1"/>
        <v>385789</v>
      </c>
      <c r="J25" s="751">
        <f t="shared" si="1"/>
        <v>18309.285503999999</v>
      </c>
      <c r="K25" s="750">
        <f t="shared" si="1"/>
        <v>361494</v>
      </c>
      <c r="L25" s="751">
        <f t="shared" si="1"/>
        <v>17603.968130000001</v>
      </c>
    </row>
    <row r="26" spans="1:13" customFormat="1" ht="13.35" customHeight="1" x14ac:dyDescent="0.2">
      <c r="A26" s="1"/>
      <c r="B26" s="645"/>
      <c r="C26" s="645"/>
      <c r="D26" s="1"/>
      <c r="E26" s="1"/>
      <c r="F26" s="1"/>
      <c r="G26" s="1"/>
      <c r="H26" s="1"/>
      <c r="I26" s="1"/>
      <c r="J26" s="1"/>
      <c r="K26" s="1"/>
      <c r="L26" s="1"/>
      <c r="M26" s="1"/>
    </row>
    <row r="27" spans="1:13" customFormat="1" ht="13.35" customHeight="1" x14ac:dyDescent="0.2">
      <c r="A27" s="1"/>
      <c r="B27" s="1"/>
      <c r="C27" s="1"/>
      <c r="D27" s="1"/>
      <c r="E27" s="1"/>
      <c r="F27" s="1"/>
      <c r="G27" s="1"/>
      <c r="H27" s="1"/>
      <c r="I27" s="1"/>
      <c r="J27" s="1"/>
      <c r="K27" s="1"/>
      <c r="L27" s="1"/>
      <c r="M27" s="1"/>
    </row>
    <row r="28" spans="1:13" s="1" customFormat="1" ht="13.35" customHeight="1" x14ac:dyDescent="0.2">
      <c r="B28"/>
      <c r="C28"/>
      <c r="D28"/>
      <c r="E28"/>
      <c r="F28"/>
      <c r="G28" s="352" t="s">
        <v>371</v>
      </c>
      <c r="H28"/>
      <c r="J28"/>
      <c r="K28"/>
      <c r="L28"/>
      <c r="M28"/>
    </row>
    <row r="29" spans="1:13" s="1" customFormat="1" ht="13.35" customHeight="1" x14ac:dyDescent="0.2">
      <c r="B29"/>
      <c r="C29"/>
      <c r="D29"/>
      <c r="E29"/>
      <c r="F29"/>
      <c r="G29"/>
      <c r="H29"/>
      <c r="J29"/>
      <c r="K29"/>
      <c r="L29"/>
      <c r="M29"/>
    </row>
    <row r="30" spans="1:13" customFormat="1" ht="13.35" hidden="1" customHeight="1" x14ac:dyDescent="0.2">
      <c r="A30" s="1"/>
      <c r="D30" s="106" t="s">
        <v>227</v>
      </c>
      <c r="E30" s="84">
        <f>A2.7.1!E11-E25</f>
        <v>0</v>
      </c>
      <c r="F30" s="84">
        <f>A2.7.1!F11-F25</f>
        <v>0</v>
      </c>
      <c r="G30" s="84">
        <f>A2.7.1!G11-G25</f>
        <v>0</v>
      </c>
      <c r="H30" s="84">
        <f>A2.7.1!H11-H25</f>
        <v>0</v>
      </c>
      <c r="I30" s="84">
        <f>A2.7.1!I11-I25</f>
        <v>0</v>
      </c>
      <c r="J30" s="84">
        <f>A2.7.1!J11-J25</f>
        <v>0</v>
      </c>
      <c r="K30" s="84">
        <f>A2.7.1!K11-K25</f>
        <v>0</v>
      </c>
      <c r="L30" s="107">
        <f>A2.7.1!L11-L25</f>
        <v>0</v>
      </c>
    </row>
    <row r="31" spans="1:13" customFormat="1" ht="13.35" hidden="1" customHeight="1" x14ac:dyDescent="0.2">
      <c r="A31" s="1"/>
      <c r="I31" s="1"/>
    </row>
    <row r="32" spans="1:13" hidden="1" x14ac:dyDescent="0.2">
      <c r="A32" s="10"/>
    </row>
    <row r="33" spans="1:13" hidden="1" x14ac:dyDescent="0.2">
      <c r="A33" s="10"/>
      <c r="C33"/>
      <c r="D33" s="106" t="s">
        <v>484</v>
      </c>
      <c r="E33" s="84">
        <f t="shared" ref="E33:L33" si="2">SUM(E34:E36)</f>
        <v>46</v>
      </c>
      <c r="F33" s="84">
        <f t="shared" si="2"/>
        <v>15.646469</v>
      </c>
      <c r="G33" s="84">
        <f t="shared" si="2"/>
        <v>41</v>
      </c>
      <c r="H33" s="84">
        <f t="shared" si="2"/>
        <v>13.842739999999999</v>
      </c>
      <c r="I33" s="84">
        <f t="shared" si="2"/>
        <v>62</v>
      </c>
      <c r="J33" s="84">
        <f t="shared" si="2"/>
        <v>21.521681000000001</v>
      </c>
      <c r="K33" s="84">
        <f t="shared" si="2"/>
        <v>64</v>
      </c>
      <c r="L33" s="107">
        <f t="shared" si="2"/>
        <v>22.412944</v>
      </c>
      <c r="M33"/>
    </row>
    <row r="34" spans="1:13" hidden="1" x14ac:dyDescent="0.2">
      <c r="C34"/>
      <c r="D34" s="756" t="s">
        <v>484</v>
      </c>
      <c r="E34" s="198">
        <v>46</v>
      </c>
      <c r="F34" s="198">
        <v>15.646469</v>
      </c>
      <c r="G34" s="198">
        <v>41</v>
      </c>
      <c r="H34" s="198">
        <v>13.842739999999999</v>
      </c>
      <c r="I34" s="198">
        <v>62</v>
      </c>
      <c r="J34" s="198">
        <v>21.521681000000001</v>
      </c>
      <c r="K34" s="198">
        <v>64</v>
      </c>
      <c r="L34" s="199">
        <v>22.412944</v>
      </c>
      <c r="M34"/>
    </row>
    <row r="35" spans="1:13" customFormat="1" ht="13.35" hidden="1" customHeight="1" x14ac:dyDescent="0.2">
      <c r="A35" s="1"/>
      <c r="D35" s="756" t="s">
        <v>451</v>
      </c>
      <c r="E35" s="198">
        <v>0</v>
      </c>
      <c r="F35" s="198">
        <v>0</v>
      </c>
      <c r="G35" s="198">
        <v>0</v>
      </c>
      <c r="H35" s="198">
        <v>0</v>
      </c>
      <c r="I35" s="198">
        <v>0</v>
      </c>
      <c r="J35" s="198">
        <v>0</v>
      </c>
      <c r="K35" s="198">
        <v>0</v>
      </c>
      <c r="L35" s="199">
        <v>0</v>
      </c>
    </row>
    <row r="36" spans="1:13" customFormat="1" ht="13.35" hidden="1" customHeight="1" x14ac:dyDescent="0.2">
      <c r="A36" s="1"/>
      <c r="D36" s="755" t="s">
        <v>231</v>
      </c>
      <c r="E36" s="200">
        <v>0</v>
      </c>
      <c r="F36" s="200">
        <v>0</v>
      </c>
      <c r="G36" s="200">
        <v>0</v>
      </c>
      <c r="H36" s="200">
        <v>0</v>
      </c>
      <c r="I36" s="200">
        <v>0</v>
      </c>
      <c r="J36" s="200">
        <v>0</v>
      </c>
      <c r="K36" s="200">
        <v>0</v>
      </c>
      <c r="L36" s="201">
        <v>0</v>
      </c>
    </row>
    <row r="37" spans="1:13" customFormat="1" ht="13.35" customHeight="1" x14ac:dyDescent="0.2">
      <c r="A37" s="1"/>
      <c r="C37" s="2"/>
      <c r="D37" s="2"/>
      <c r="E37" s="2"/>
      <c r="F37" s="2"/>
      <c r="G37" s="14"/>
      <c r="H37" s="6"/>
      <c r="I37" s="6"/>
      <c r="J37" s="6"/>
      <c r="K37" s="6"/>
      <c r="L37" s="6"/>
      <c r="M37" s="10"/>
    </row>
    <row r="38" spans="1:13" customFormat="1" ht="13.35" customHeight="1" x14ac:dyDescent="0.2">
      <c r="A38" s="1"/>
      <c r="C38" s="2"/>
      <c r="D38" s="2"/>
      <c r="E38" s="2"/>
      <c r="F38" s="2"/>
      <c r="G38" s="14"/>
      <c r="H38" s="6"/>
      <c r="I38" s="6"/>
      <c r="J38" s="6"/>
      <c r="K38" s="6"/>
      <c r="L38" s="6"/>
      <c r="M38" s="10"/>
    </row>
  </sheetData>
  <mergeCells count="3">
    <mergeCell ref="C3:D3"/>
    <mergeCell ref="B1:L1"/>
    <mergeCell ref="K2:L2"/>
  </mergeCells>
  <hyperlinks>
    <hyperlink ref="G28" location="CONTENTS!A1" display="BACK TO CONTENTS"/>
  </hyperlinks>
  <pageMargins left="0.98425196850393704" right="0.98425196850393704" top="0.98425196850393704" bottom="0.98425196850393704"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39997558519241921"/>
    <pageSetUpPr fitToPage="1"/>
  </sheetPr>
  <dimension ref="A1:J32"/>
  <sheetViews>
    <sheetView showGridLines="0" zoomScaleNormal="100" zoomScaleSheetLayoutView="90" workbookViewId="0"/>
  </sheetViews>
  <sheetFormatPr defaultColWidth="9.140625" defaultRowHeight="12.75" x14ac:dyDescent="0.2"/>
  <cols>
    <col min="1" max="1" width="3.7109375" customWidth="1"/>
    <col min="2" max="2" width="0.85546875" style="2" customWidth="1"/>
    <col min="3" max="3" width="17.28515625" style="2" customWidth="1"/>
    <col min="4" max="4" width="20.7109375" style="2" customWidth="1"/>
    <col min="5" max="7" width="12.140625" style="2" customWidth="1"/>
    <col min="8" max="8" width="12.140625" style="6" customWidth="1"/>
    <col min="9" max="16384" width="9.140625" style="10"/>
  </cols>
  <sheetData>
    <row r="1" spans="1:10" customFormat="1" ht="15" customHeight="1" x14ac:dyDescent="0.2">
      <c r="A1" s="41"/>
      <c r="B1" s="474" t="s">
        <v>558</v>
      </c>
      <c r="C1" s="474"/>
      <c r="D1" s="474"/>
      <c r="E1" s="474"/>
      <c r="F1" s="474"/>
      <c r="G1" s="474"/>
      <c r="H1" s="474"/>
    </row>
    <row r="2" spans="1:10" customFormat="1" ht="13.35" customHeight="1" x14ac:dyDescent="0.2">
      <c r="A2" s="312"/>
      <c r="B2" s="842"/>
      <c r="C2" s="843" t="s">
        <v>85</v>
      </c>
      <c r="D2" s="844" t="s">
        <v>90</v>
      </c>
      <c r="E2" s="503">
        <v>2009</v>
      </c>
      <c r="F2" s="503">
        <v>2010</v>
      </c>
      <c r="G2" s="503">
        <v>2011</v>
      </c>
      <c r="H2" s="504">
        <v>2012</v>
      </c>
    </row>
    <row r="3" spans="1:10" customFormat="1" ht="13.35" customHeight="1" x14ac:dyDescent="0.2">
      <c r="A3" s="312"/>
      <c r="B3" s="845"/>
      <c r="C3" s="846" t="s">
        <v>201</v>
      </c>
      <c r="D3" s="847" t="s">
        <v>234</v>
      </c>
      <c r="E3" s="867">
        <f>'A2.1.1 continued'!$E30</f>
        <v>6.709049932851785E-2</v>
      </c>
      <c r="F3" s="868">
        <f>'A2.1.1 continued'!$H30</f>
        <v>6.6261153024717495E-2</v>
      </c>
      <c r="G3" s="868">
        <f>'A2.1.1 continued'!$K30</f>
        <v>5.2240468057607091E-2</v>
      </c>
      <c r="H3" s="869">
        <f>'A2.1.1 continued'!$N30</f>
        <v>4.1524746354249152E-2</v>
      </c>
    </row>
    <row r="4" spans="1:10" customFormat="1" ht="13.35" customHeight="1" x14ac:dyDescent="0.2">
      <c r="A4" s="312"/>
      <c r="B4" s="845"/>
      <c r="C4" s="846"/>
      <c r="D4" s="847" t="s">
        <v>235</v>
      </c>
      <c r="E4" s="867">
        <f>'A2.1.1 continued'!$E31</f>
        <v>0.1611058522815646</v>
      </c>
      <c r="F4" s="868">
        <f>'A2.1.1 continued'!$H31</f>
        <v>0.15849401326546647</v>
      </c>
      <c r="G4" s="868">
        <f>'A2.1.1 continued'!$K31</f>
        <v>0.15677256431560807</v>
      </c>
      <c r="H4" s="869">
        <f>'A2.1.1 continued'!$N31</f>
        <v>0.14138835798940802</v>
      </c>
    </row>
    <row r="5" spans="1:10" customFormat="1" ht="13.35" customHeight="1" x14ac:dyDescent="0.2">
      <c r="A5" s="312"/>
      <c r="B5" s="845"/>
      <c r="C5" s="846"/>
      <c r="D5" s="847" t="s">
        <v>236</v>
      </c>
      <c r="E5" s="867">
        <f>'A2.1.1 continued'!$E32</f>
        <v>0.25918935372415314</v>
      </c>
      <c r="F5" s="868">
        <f>'A2.1.1 continued'!$H32</f>
        <v>0.26019352369801568</v>
      </c>
      <c r="G5" s="868">
        <f>'A2.1.1 continued'!$K32</f>
        <v>0.25107282434761202</v>
      </c>
      <c r="H5" s="869">
        <f>'A2.1.1 continued'!$N32</f>
        <v>0.24374247167352459</v>
      </c>
    </row>
    <row r="6" spans="1:10" customFormat="1" ht="13.35" customHeight="1" x14ac:dyDescent="0.2">
      <c r="A6" s="312"/>
      <c r="B6" s="848"/>
      <c r="C6" s="849"/>
      <c r="D6" s="850" t="s">
        <v>399</v>
      </c>
      <c r="E6" s="868">
        <f>'A2.1.1 continued'!$E33</f>
        <v>0.46235997172751386</v>
      </c>
      <c r="F6" s="868">
        <f>'A2.1.1 continued'!$H33</f>
        <v>0.46445767498847357</v>
      </c>
      <c r="G6" s="868">
        <f>'A2.1.1 continued'!$K33</f>
        <v>0.48208337179960609</v>
      </c>
      <c r="H6" s="869">
        <f>'A2.1.1 continued'!$N33</f>
        <v>0.50703466010676546</v>
      </c>
    </row>
    <row r="7" spans="1:10" customFormat="1" ht="13.35" customHeight="1" x14ac:dyDescent="0.2">
      <c r="A7" s="312"/>
      <c r="B7" s="851"/>
      <c r="C7" s="852"/>
      <c r="D7" s="853" t="s">
        <v>401</v>
      </c>
      <c r="E7" s="870">
        <f>'A2.1.1 continued'!$E34</f>
        <v>5.0254322938250592E-2</v>
      </c>
      <c r="F7" s="870">
        <f>'A2.1.1 continued'!$H34</f>
        <v>5.0593635023326734E-2</v>
      </c>
      <c r="G7" s="870">
        <f>'A2.1.1 continued'!$K34</f>
        <v>5.7830771479566716E-2</v>
      </c>
      <c r="H7" s="871">
        <f>'A2.1.1 continued'!$N34</f>
        <v>6.6309763876052794E-2</v>
      </c>
    </row>
    <row r="8" spans="1:10" customFormat="1" ht="13.35" customHeight="1" x14ac:dyDescent="0.2">
      <c r="A8" s="323"/>
      <c r="B8" s="854"/>
      <c r="C8" s="855" t="s">
        <v>8</v>
      </c>
      <c r="D8" s="856"/>
      <c r="E8" s="872">
        <f t="shared" ref="E8" si="0">SUM(E3:E7)</f>
        <v>1</v>
      </c>
      <c r="F8" s="872">
        <f t="shared" ref="F8" si="1">SUM(F3:F7)</f>
        <v>0.99999999999999989</v>
      </c>
      <c r="G8" s="872">
        <f t="shared" ref="G8" si="2">SUM(G3:G7)</f>
        <v>1</v>
      </c>
      <c r="H8" s="873">
        <f t="shared" ref="H8" si="3">SUM(H3:H7)</f>
        <v>1</v>
      </c>
    </row>
    <row r="9" spans="1:10" customFormat="1" ht="13.35" customHeight="1" x14ac:dyDescent="0.2">
      <c r="A9" s="312"/>
      <c r="B9" s="848"/>
      <c r="C9" s="849" t="s">
        <v>80</v>
      </c>
      <c r="D9" s="850" t="s">
        <v>234</v>
      </c>
      <c r="E9" s="868">
        <f>'A2.1.1 continued'!$F30</f>
        <v>-2.4467603838447892E-2</v>
      </c>
      <c r="F9" s="868">
        <f>'A2.1.1 continued'!$I30</f>
        <v>-2.4442594835927235E-2</v>
      </c>
      <c r="G9" s="868">
        <f>'A2.1.1 continued'!$L30</f>
        <v>-2.2443603123897246E-2</v>
      </c>
      <c r="H9" s="869">
        <f>'A2.1.1 continued'!$O30</f>
        <v>-2.0292865675448579E-2</v>
      </c>
    </row>
    <row r="10" spans="1:10" customFormat="1" ht="13.35" customHeight="1" x14ac:dyDescent="0.2">
      <c r="A10" s="312"/>
      <c r="B10" s="848"/>
      <c r="C10" s="849"/>
      <c r="D10" s="850" t="s">
        <v>235</v>
      </c>
      <c r="E10" s="868">
        <f>'A2.1.1 continued'!$F31</f>
        <v>3.2787484404564922E-2</v>
      </c>
      <c r="F10" s="868">
        <f>'A2.1.1 continued'!$I31</f>
        <v>3.170777491419479E-2</v>
      </c>
      <c r="G10" s="868">
        <f>'A2.1.1 continued'!$L31</f>
        <v>2.9034597262677118E-2</v>
      </c>
      <c r="H10" s="869">
        <f>'A2.1.1 continued'!$O31</f>
        <v>2.3699673844458612E-2</v>
      </c>
    </row>
    <row r="11" spans="1:10" customFormat="1" ht="13.35" customHeight="1" x14ac:dyDescent="0.2">
      <c r="A11" s="312"/>
      <c r="B11" s="848"/>
      <c r="C11" s="849"/>
      <c r="D11" s="850" t="s">
        <v>236</v>
      </c>
      <c r="E11" s="868">
        <f>'A2.1.1 continued'!$F32</f>
        <v>0.13407513137972993</v>
      </c>
      <c r="F11" s="868">
        <f>'A2.1.1 continued'!$I32</f>
        <v>0.13380835796136273</v>
      </c>
      <c r="G11" s="868">
        <f>'A2.1.1 continued'!$L32</f>
        <v>0.12014104007505517</v>
      </c>
      <c r="H11" s="869">
        <f>'A2.1.1 continued'!$O32</f>
        <v>0.10878131762528463</v>
      </c>
      <c r="J11" s="284"/>
    </row>
    <row r="12" spans="1:10" customFormat="1" ht="13.35" customHeight="1" x14ac:dyDescent="0.2">
      <c r="A12" s="312"/>
      <c r="B12" s="848"/>
      <c r="C12" s="849"/>
      <c r="D12" s="850" t="s">
        <v>399</v>
      </c>
      <c r="E12" s="868">
        <f>'A2.1.1 continued'!$F33</f>
        <v>0.57584565727625792</v>
      </c>
      <c r="F12" s="868">
        <f>'A2.1.1 continued'!$I33</f>
        <v>0.58759683383471306</v>
      </c>
      <c r="G12" s="868">
        <f>'A2.1.1 continued'!$L33</f>
        <v>0.58274173201398383</v>
      </c>
      <c r="H12" s="869">
        <f>'A2.1.1 continued'!$O33</f>
        <v>0.57775894890860835</v>
      </c>
    </row>
    <row r="13" spans="1:10" customFormat="1" ht="13.35" customHeight="1" x14ac:dyDescent="0.2">
      <c r="A13" s="312"/>
      <c r="B13" s="851"/>
      <c r="C13" s="852"/>
      <c r="D13" s="853" t="s">
        <v>401</v>
      </c>
      <c r="E13" s="870">
        <f>'A2.1.1 continued'!$F34</f>
        <v>0.281759330777895</v>
      </c>
      <c r="F13" s="870">
        <f>'A2.1.1 continued'!$I34</f>
        <v>0.27132962812565664</v>
      </c>
      <c r="G13" s="870">
        <f>'A2.1.1 continued'!$L34</f>
        <v>0.29052623377218117</v>
      </c>
      <c r="H13" s="871">
        <f>'A2.1.1 continued'!$O34</f>
        <v>0.31005292529709688</v>
      </c>
    </row>
    <row r="14" spans="1:10" s="1" customFormat="1" ht="13.35" customHeight="1" x14ac:dyDescent="0.2">
      <c r="A14" s="323"/>
      <c r="B14" s="854"/>
      <c r="C14" s="855" t="s">
        <v>8</v>
      </c>
      <c r="D14" s="856"/>
      <c r="E14" s="874">
        <f t="shared" ref="E14" si="4">SUM(E9:E13)</f>
        <v>0.99999999999999978</v>
      </c>
      <c r="F14" s="872">
        <f t="shared" ref="F14" si="5">SUM(F9:F13)</f>
        <v>1</v>
      </c>
      <c r="G14" s="872">
        <f t="shared" ref="G14" si="6">SUM(G9:G13)</f>
        <v>1</v>
      </c>
      <c r="H14" s="873">
        <f t="shared" ref="H14" si="7">SUM(H9:H13)</f>
        <v>1</v>
      </c>
    </row>
    <row r="15" spans="1:10" s="1" customFormat="1" ht="13.35" customHeight="1" x14ac:dyDescent="0.2">
      <c r="A15" s="312"/>
      <c r="B15" s="848"/>
      <c r="C15" s="849" t="s">
        <v>166</v>
      </c>
      <c r="D15" s="850" t="s">
        <v>234</v>
      </c>
      <c r="E15" s="868">
        <f>'A2.1.1 continued'!$G30</f>
        <v>5.1535853988496991E-5</v>
      </c>
      <c r="F15" s="868">
        <f>'A2.1.1 continued'!$J30</f>
        <v>3.9900584593138025E-5</v>
      </c>
      <c r="G15" s="868">
        <f>'A2.1.1 continued'!$M30</f>
        <v>2.0965698860615205E-5</v>
      </c>
      <c r="H15" s="869">
        <f>'A2.1.1 continued'!$P30</f>
        <v>2.6985849601013179E-5</v>
      </c>
    </row>
    <row r="16" spans="1:10" s="1" customFormat="1" ht="13.35" customHeight="1" x14ac:dyDescent="0.2">
      <c r="A16" s="312"/>
      <c r="B16" s="848"/>
      <c r="C16" s="849"/>
      <c r="D16" s="850" t="s">
        <v>235</v>
      </c>
      <c r="E16" s="868">
        <f>'A2.1.1 continued'!$G31</f>
        <v>1.8810983714594995E-3</v>
      </c>
      <c r="F16" s="868">
        <f>'A2.1.1 continued'!$J31</f>
        <v>4.6782045876899743E-4</v>
      </c>
      <c r="G16" s="868">
        <f>'A2.1.1 continued'!$M31</f>
        <v>1.9220237539973383E-4</v>
      </c>
      <c r="H16" s="869">
        <f>'A2.1.1 continued'!$P31</f>
        <v>7.2902643428795542E-5</v>
      </c>
    </row>
    <row r="17" spans="1:10" s="1" customFormat="1" ht="13.35" customHeight="1" x14ac:dyDescent="0.2">
      <c r="A17" s="312"/>
      <c r="B17" s="848"/>
      <c r="C17" s="849"/>
      <c r="D17" s="850" t="s">
        <v>236</v>
      </c>
      <c r="E17" s="868">
        <f>'A2.1.1 continued'!$G32</f>
        <v>5.3468529918983126E-2</v>
      </c>
      <c r="F17" s="868">
        <f>'A2.1.1 continued'!$J32</f>
        <v>4.4615576010256015E-2</v>
      </c>
      <c r="G17" s="868">
        <f>'A2.1.1 continued'!$M32</f>
        <v>3.6223717042848692E-2</v>
      </c>
      <c r="H17" s="869">
        <f>'A2.1.1 continued'!$P32</f>
        <v>3.0131301496337248E-2</v>
      </c>
      <c r="J17" s="284"/>
    </row>
    <row r="18" spans="1:10" s="1" customFormat="1" ht="13.35" customHeight="1" x14ac:dyDescent="0.2">
      <c r="A18" s="312"/>
      <c r="B18" s="848"/>
      <c r="C18" s="849"/>
      <c r="D18" s="850" t="s">
        <v>399</v>
      </c>
      <c r="E18" s="868">
        <f>'A2.1.1 continued'!$G33</f>
        <v>0.50540146379657824</v>
      </c>
      <c r="F18" s="868">
        <f>'A2.1.1 continued'!$J33</f>
        <v>0.51246672596305465</v>
      </c>
      <c r="G18" s="868">
        <f>'A2.1.1 continued'!$M33</f>
        <v>0.49634733042208579</v>
      </c>
      <c r="H18" s="869">
        <f>'A2.1.1 continued'!$P33</f>
        <v>0.47728960923506913</v>
      </c>
    </row>
    <row r="19" spans="1:10" s="1" customFormat="1" ht="13.35" customHeight="1" x14ac:dyDescent="0.2">
      <c r="A19" s="312"/>
      <c r="B19" s="851"/>
      <c r="C19" s="852"/>
      <c r="D19" s="853" t="s">
        <v>401</v>
      </c>
      <c r="E19" s="870">
        <f>'A2.1.1 continued'!$G34</f>
        <v>0.43919737205899073</v>
      </c>
      <c r="F19" s="870">
        <f>'A2.1.1 continued'!$J34</f>
        <v>0.44240997698332718</v>
      </c>
      <c r="G19" s="870">
        <f>'A2.1.1 continued'!$M34</f>
        <v>0.46721578446080519</v>
      </c>
      <c r="H19" s="871">
        <f>'A2.1.1 continued'!$P34</f>
        <v>0.49247920077556379</v>
      </c>
    </row>
    <row r="20" spans="1:10" s="1" customFormat="1" ht="13.35" customHeight="1" x14ac:dyDescent="0.2">
      <c r="A20" s="323"/>
      <c r="B20" s="854"/>
      <c r="C20" s="855" t="s">
        <v>8</v>
      </c>
      <c r="D20" s="857"/>
      <c r="E20" s="874">
        <f t="shared" ref="E20" si="8">SUM(E15:E19)</f>
        <v>1</v>
      </c>
      <c r="F20" s="872">
        <f t="shared" ref="F20" si="9">SUM(F15:F19)</f>
        <v>1</v>
      </c>
      <c r="G20" s="872">
        <f t="shared" ref="G20" si="10">SUM(G15:G19)</f>
        <v>1</v>
      </c>
      <c r="H20" s="873">
        <f t="shared" ref="H20" si="11">SUM(H15:H19)</f>
        <v>1</v>
      </c>
    </row>
    <row r="21" spans="1:10" customFormat="1" ht="13.35" customHeight="1" x14ac:dyDescent="0.2"/>
    <row r="22" spans="1:10" customFormat="1" ht="13.35" customHeight="1" x14ac:dyDescent="0.2">
      <c r="B22" s="2"/>
      <c r="C22" s="2"/>
      <c r="E22" s="352" t="s">
        <v>371</v>
      </c>
    </row>
    <row r="23" spans="1:10" customFormat="1" ht="13.35" customHeight="1" x14ac:dyDescent="0.2"/>
    <row r="24" spans="1:10" customFormat="1" ht="13.35" customHeight="1" x14ac:dyDescent="0.2"/>
    <row r="25" spans="1:10" customFormat="1" ht="13.35" hidden="1" customHeight="1" x14ac:dyDescent="0.2">
      <c r="B25" s="388" t="s">
        <v>316</v>
      </c>
      <c r="C25" s="502"/>
      <c r="D25" s="389"/>
      <c r="E25" s="390"/>
    </row>
    <row r="26" spans="1:10" customFormat="1" ht="13.35" hidden="1" customHeight="1" x14ac:dyDescent="0.2">
      <c r="B26" s="391" t="s">
        <v>235</v>
      </c>
      <c r="C26" s="392"/>
      <c r="D26" s="392" t="s">
        <v>317</v>
      </c>
      <c r="E26" s="393"/>
      <c r="F26" s="2"/>
      <c r="G26" s="2"/>
      <c r="H26" s="6"/>
    </row>
    <row r="27" spans="1:10" customFormat="1" ht="13.35" hidden="1" customHeight="1" x14ac:dyDescent="0.2">
      <c r="B27" s="391" t="s">
        <v>236</v>
      </c>
      <c r="C27" s="392"/>
      <c r="D27" s="392" t="s">
        <v>318</v>
      </c>
      <c r="E27" s="393"/>
      <c r="F27" s="2"/>
      <c r="G27" s="2"/>
      <c r="H27" s="6"/>
    </row>
    <row r="28" spans="1:10" customFormat="1" ht="13.35" hidden="1" customHeight="1" x14ac:dyDescent="0.2">
      <c r="B28" s="394" t="s">
        <v>399</v>
      </c>
      <c r="C28" s="395"/>
      <c r="D28" s="395" t="s">
        <v>400</v>
      </c>
      <c r="E28" s="396"/>
      <c r="F28" s="2"/>
      <c r="G28" s="2"/>
      <c r="H28" s="6"/>
    </row>
    <row r="29" spans="1:10" customFormat="1" ht="13.35" hidden="1" customHeight="1" x14ac:dyDescent="0.2">
      <c r="B29" s="2"/>
      <c r="C29" s="2"/>
      <c r="D29" s="2"/>
      <c r="E29" s="2"/>
      <c r="F29" s="2"/>
      <c r="G29" s="2"/>
      <c r="H29" s="6"/>
    </row>
    <row r="30" spans="1:10" hidden="1" x14ac:dyDescent="0.2">
      <c r="H30" s="771">
        <f>SUM(H3:H5)</f>
        <v>0.42665557601718174</v>
      </c>
    </row>
    <row r="31" spans="1:10" hidden="1" x14ac:dyDescent="0.2">
      <c r="H31" s="771">
        <f>SUM(H9:H11)</f>
        <v>0.11218812579429466</v>
      </c>
    </row>
    <row r="32" spans="1:10" hidden="1" x14ac:dyDescent="0.2">
      <c r="H32" s="771">
        <f>SUM(H15:H17)</f>
        <v>3.0231189989367056E-2</v>
      </c>
    </row>
  </sheetData>
  <hyperlinks>
    <hyperlink ref="E22"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L43"/>
  <sheetViews>
    <sheetView showGridLines="0" zoomScaleNormal="100" zoomScaleSheetLayoutView="90" workbookViewId="0"/>
  </sheetViews>
  <sheetFormatPr defaultColWidth="9.140625" defaultRowHeight="12.75" x14ac:dyDescent="0.2"/>
  <cols>
    <col min="1" max="1" width="3.7109375" customWidth="1"/>
    <col min="2" max="2" width="0.85546875" style="2" customWidth="1"/>
    <col min="3" max="3" width="15.7109375" style="2" customWidth="1"/>
    <col min="4" max="7" width="17.140625" style="2" customWidth="1"/>
    <col min="8" max="8" width="5.5703125" style="6" customWidth="1"/>
    <col min="9" max="10" width="9.7109375" style="6" customWidth="1"/>
    <col min="11" max="11" width="9.85546875" style="10" customWidth="1"/>
    <col min="12" max="16384" width="9.140625" style="10"/>
  </cols>
  <sheetData>
    <row r="1" spans="1:12" ht="15" customHeight="1" x14ac:dyDescent="0.2">
      <c r="B1" s="475" t="s">
        <v>551</v>
      </c>
      <c r="C1" s="324"/>
      <c r="D1" s="324"/>
      <c r="E1" s="324"/>
      <c r="F1" s="324"/>
      <c r="G1" s="324"/>
      <c r="H1" s="324"/>
    </row>
    <row r="2" spans="1:12" s="8" customFormat="1" ht="13.35" customHeight="1" x14ac:dyDescent="0.2">
      <c r="A2" s="325"/>
      <c r="B2" s="535"/>
      <c r="C2" s="536" t="s">
        <v>168</v>
      </c>
      <c r="D2" s="1019" t="s">
        <v>404</v>
      </c>
      <c r="E2" s="1019"/>
      <c r="F2" s="1019"/>
      <c r="G2" s="1020"/>
      <c r="H2" s="296"/>
      <c r="I2" s="296"/>
      <c r="J2" s="296"/>
      <c r="K2" s="296"/>
      <c r="L2" s="7"/>
    </row>
    <row r="3" spans="1:12" ht="12.6" customHeight="1" x14ac:dyDescent="0.2">
      <c r="A3" s="312"/>
      <c r="B3" s="532"/>
      <c r="C3" s="1016" t="s">
        <v>364</v>
      </c>
      <c r="D3" s="1007" t="s">
        <v>559</v>
      </c>
      <c r="E3" s="1010" t="s">
        <v>357</v>
      </c>
      <c r="F3" s="1010" t="s">
        <v>366</v>
      </c>
      <c r="G3" s="1013" t="s">
        <v>67</v>
      </c>
      <c r="H3" s="21"/>
      <c r="J3" s="79"/>
      <c r="K3" s="79"/>
      <c r="L3" s="79"/>
    </row>
    <row r="4" spans="1:12" ht="12.6" customHeight="1" x14ac:dyDescent="0.2">
      <c r="A4" s="312"/>
      <c r="B4" s="533"/>
      <c r="C4" s="1017"/>
      <c r="D4" s="1008"/>
      <c r="E4" s="1011"/>
      <c r="F4" s="1011"/>
      <c r="G4" s="1014"/>
      <c r="H4" s="21"/>
      <c r="J4" s="79"/>
      <c r="K4" s="79"/>
      <c r="L4" s="79"/>
    </row>
    <row r="5" spans="1:12" ht="12.6" customHeight="1" x14ac:dyDescent="0.2">
      <c r="A5" s="312"/>
      <c r="B5" s="534"/>
      <c r="C5" s="1018"/>
      <c r="D5" s="1009"/>
      <c r="E5" s="1012"/>
      <c r="F5" s="1012"/>
      <c r="G5" s="1015"/>
      <c r="H5" s="21"/>
      <c r="J5" s="79"/>
      <c r="K5" s="79"/>
      <c r="L5" s="79"/>
    </row>
    <row r="6" spans="1:12" customFormat="1" ht="13.35" customHeight="1" x14ac:dyDescent="0.2">
      <c r="A6" s="313"/>
      <c r="B6" s="291"/>
      <c r="C6" s="349" t="s">
        <v>234</v>
      </c>
      <c r="D6" s="537">
        <f>+A2.1.2!N30</f>
        <v>191413</v>
      </c>
      <c r="E6" s="537">
        <f>+A2.1.2!P30</f>
        <v>-19253.371594</v>
      </c>
      <c r="F6" s="537">
        <f>E6-G6</f>
        <v>947.86361300000135</v>
      </c>
      <c r="G6" s="538">
        <f>+A2.1.2!O30</f>
        <v>-20201.235207000002</v>
      </c>
      <c r="H6" s="6"/>
      <c r="I6" s="6"/>
      <c r="J6" s="15"/>
      <c r="K6" s="15"/>
      <c r="L6" s="15"/>
    </row>
    <row r="7" spans="1:12" customFormat="1" ht="13.35" customHeight="1" x14ac:dyDescent="0.2">
      <c r="A7" s="313"/>
      <c r="B7" s="291"/>
      <c r="C7" s="349" t="s">
        <v>235</v>
      </c>
      <c r="D7" s="537">
        <f>+A2.1.2!N31</f>
        <v>621761</v>
      </c>
      <c r="E7" s="537">
        <f>+A2.1.2!P31</f>
        <v>20236.856334</v>
      </c>
      <c r="F7" s="537">
        <f>E7-G7</f>
        <v>1873.3270479999992</v>
      </c>
      <c r="G7" s="538">
        <f>+A2.1.2!O31</f>
        <v>18363.529286000001</v>
      </c>
      <c r="H7" s="6"/>
      <c r="I7" s="6"/>
      <c r="J7" s="15"/>
      <c r="K7" s="15"/>
      <c r="L7" s="15"/>
    </row>
    <row r="8" spans="1:12" customFormat="1" ht="13.35" customHeight="1" x14ac:dyDescent="0.2">
      <c r="A8" s="313"/>
      <c r="B8" s="291"/>
      <c r="C8" s="349" t="s">
        <v>236</v>
      </c>
      <c r="D8" s="537">
        <f>+A2.1.2!N32</f>
        <v>1078663</v>
      </c>
      <c r="E8" s="537">
        <f>+A2.1.2!P32</f>
        <v>98100.404347999996</v>
      </c>
      <c r="F8" s="537">
        <f>E8-G8</f>
        <v>10885.737303000002</v>
      </c>
      <c r="G8" s="538">
        <f>+A2.1.2!O32</f>
        <v>87214.667044999995</v>
      </c>
      <c r="H8" s="6"/>
      <c r="I8" s="6"/>
      <c r="J8" s="15"/>
      <c r="K8" s="15"/>
      <c r="L8" s="15"/>
    </row>
    <row r="9" spans="1:12" customFormat="1" ht="13.35" customHeight="1" x14ac:dyDescent="0.2">
      <c r="A9" s="313"/>
      <c r="B9" s="291"/>
      <c r="C9" s="350" t="s">
        <v>399</v>
      </c>
      <c r="D9" s="537">
        <f>+A2.1.2!N33</f>
        <v>2789367</v>
      </c>
      <c r="E9" s="537">
        <f>+A2.1.2!P33</f>
        <v>664143.979101</v>
      </c>
      <c r="F9" s="537">
        <f>E9-G9</f>
        <v>82598.468087999965</v>
      </c>
      <c r="G9" s="538">
        <f>+A2.1.2!O33</f>
        <v>581545.51101300004</v>
      </c>
      <c r="H9" s="6"/>
      <c r="I9" s="6"/>
      <c r="J9" s="15"/>
      <c r="K9" s="15"/>
      <c r="L9" s="15"/>
    </row>
    <row r="10" spans="1:12" customFormat="1" ht="13.35" customHeight="1" x14ac:dyDescent="0.2">
      <c r="A10" s="313"/>
      <c r="B10" s="347"/>
      <c r="C10" s="351" t="s">
        <v>401</v>
      </c>
      <c r="D10" s="539">
        <f>+A2.1.2!N34</f>
        <v>427003</v>
      </c>
      <c r="E10" s="539">
        <f>+A2.1.2!P34</f>
        <v>393446.93959199998</v>
      </c>
      <c r="F10" s="539">
        <f>E10-G10</f>
        <v>36433.673951999983</v>
      </c>
      <c r="G10" s="540">
        <f>+A2.1.2!O34</f>
        <v>357013.26564</v>
      </c>
      <c r="H10" s="6"/>
      <c r="I10" s="6"/>
      <c r="J10" s="15"/>
      <c r="K10" s="15"/>
      <c r="L10" s="15"/>
    </row>
    <row r="11" spans="1:12" customFormat="1" ht="13.35" customHeight="1" x14ac:dyDescent="0.2">
      <c r="A11" s="313"/>
      <c r="B11" s="275"/>
      <c r="C11" s="530" t="s">
        <v>8</v>
      </c>
      <c r="D11" s="541">
        <f>SUM(D6:D10)</f>
        <v>5108207</v>
      </c>
      <c r="E11" s="541">
        <f>SUM(E6:E10)</f>
        <v>1156674.8077810002</v>
      </c>
      <c r="F11" s="541">
        <f>SUM(F6:F10)</f>
        <v>132739.07000399995</v>
      </c>
      <c r="G11" s="542">
        <f>SUM(G6:G10)</f>
        <v>1023935.7377770001</v>
      </c>
      <c r="H11" s="6"/>
      <c r="I11" s="6"/>
      <c r="J11" s="80"/>
      <c r="K11" s="80"/>
      <c r="L11" s="80"/>
    </row>
    <row r="12" spans="1:12" customFormat="1" ht="12.6" customHeight="1" x14ac:dyDescent="0.2">
      <c r="A12" s="312"/>
      <c r="B12" s="532"/>
      <c r="C12" s="1016" t="s">
        <v>364</v>
      </c>
      <c r="D12" s="1007" t="s">
        <v>560</v>
      </c>
      <c r="E12" s="1010" t="s">
        <v>561</v>
      </c>
      <c r="F12" s="1010" t="s">
        <v>562</v>
      </c>
      <c r="G12" s="1013" t="s">
        <v>554</v>
      </c>
      <c r="H12" s="1"/>
      <c r="I12" s="1"/>
      <c r="J12" s="148"/>
      <c r="K12" s="148"/>
      <c r="L12" s="148"/>
    </row>
    <row r="13" spans="1:12" customFormat="1" ht="12.6" customHeight="1" x14ac:dyDescent="0.2">
      <c r="A13" s="312"/>
      <c r="B13" s="533"/>
      <c r="C13" s="1017"/>
      <c r="D13" s="1008"/>
      <c r="E13" s="1011"/>
      <c r="F13" s="1011"/>
      <c r="G13" s="1014"/>
      <c r="H13" s="1"/>
      <c r="I13" s="1"/>
      <c r="J13" s="148"/>
      <c r="K13" s="148"/>
      <c r="L13" s="148"/>
    </row>
    <row r="14" spans="1:12" customFormat="1" ht="12.6" customHeight="1" x14ac:dyDescent="0.2">
      <c r="A14" s="312"/>
      <c r="B14" s="533"/>
      <c r="C14" s="1017"/>
      <c r="D14" s="1008"/>
      <c r="E14" s="1011"/>
      <c r="F14" s="1011"/>
      <c r="G14" s="1014"/>
      <c r="H14" s="1"/>
      <c r="I14" s="1"/>
      <c r="J14" s="148"/>
      <c r="K14" s="148"/>
      <c r="L14" s="148"/>
    </row>
    <row r="15" spans="1:12" customFormat="1" ht="12.6" customHeight="1" x14ac:dyDescent="0.2">
      <c r="A15" s="312"/>
      <c r="B15" s="534"/>
      <c r="C15" s="1018"/>
      <c r="D15" s="1009"/>
      <c r="E15" s="1012"/>
      <c r="F15" s="1012"/>
      <c r="G15" s="1015"/>
      <c r="H15" s="1"/>
      <c r="I15" s="1"/>
      <c r="J15" s="148"/>
      <c r="K15" s="148"/>
      <c r="L15" s="148"/>
    </row>
    <row r="16" spans="1:12" customFormat="1" ht="13.35" customHeight="1" x14ac:dyDescent="0.2">
      <c r="A16" s="312"/>
      <c r="B16" s="291"/>
      <c r="C16" s="349" t="s">
        <v>234</v>
      </c>
      <c r="D16" s="543">
        <f>E6*1000000/$D6</f>
        <v>-100585.49625156076</v>
      </c>
      <c r="E16" s="543">
        <f>F6*1000000/$D6</f>
        <v>4951.9291427437074</v>
      </c>
      <c r="F16" s="543">
        <f>D16-E16</f>
        <v>-105537.42539430448</v>
      </c>
      <c r="G16" s="546">
        <f>-E16/D16</f>
        <v>4.9231045501422072E-2</v>
      </c>
      <c r="H16" s="1"/>
      <c r="I16" s="1"/>
      <c r="J16" s="1"/>
    </row>
    <row r="17" spans="1:10" customFormat="1" ht="13.35" customHeight="1" x14ac:dyDescent="0.2">
      <c r="A17" s="312"/>
      <c r="B17" s="291"/>
      <c r="C17" s="349" t="s">
        <v>235</v>
      </c>
      <c r="D17" s="543">
        <f t="shared" ref="D17:D20" si="0">E7*1000000/$D7</f>
        <v>32547.64505010768</v>
      </c>
      <c r="E17" s="543">
        <f>F7*1000000/D7</f>
        <v>3012.9375242255455</v>
      </c>
      <c r="F17" s="543">
        <f t="shared" ref="F17:F20" si="1">D17-E17</f>
        <v>29534.707525882135</v>
      </c>
      <c r="G17" s="546">
        <f>E17/D17</f>
        <v>9.2570062122377048E-2</v>
      </c>
      <c r="H17" s="1"/>
      <c r="I17" s="1"/>
      <c r="J17" s="1"/>
    </row>
    <row r="18" spans="1:10" customFormat="1" ht="13.35" customHeight="1" x14ac:dyDescent="0.2">
      <c r="A18" s="312"/>
      <c r="B18" s="291"/>
      <c r="C18" s="349" t="s">
        <v>236</v>
      </c>
      <c r="D18" s="543">
        <f t="shared" si="0"/>
        <v>90946.295875542215</v>
      </c>
      <c r="E18" s="543">
        <f>F8*1000000/D8</f>
        <v>10091.879765042466</v>
      </c>
      <c r="F18" s="543">
        <f t="shared" si="1"/>
        <v>80854.416110499747</v>
      </c>
      <c r="G18" s="546">
        <f>E18/D18</f>
        <v>0.11096526436714868</v>
      </c>
      <c r="H18" s="1"/>
      <c r="I18" s="1"/>
      <c r="J18" s="1"/>
    </row>
    <row r="19" spans="1:10" customFormat="1" ht="13.35" customHeight="1" x14ac:dyDescent="0.2">
      <c r="A19" s="312"/>
      <c r="B19" s="291"/>
      <c r="C19" s="350" t="s">
        <v>399</v>
      </c>
      <c r="D19" s="543">
        <f t="shared" si="0"/>
        <v>238098.45714135142</v>
      </c>
      <c r="E19" s="543">
        <f>F9*1000000/D9</f>
        <v>29611.904094369787</v>
      </c>
      <c r="F19" s="543">
        <f t="shared" si="1"/>
        <v>208486.55304698163</v>
      </c>
      <c r="G19" s="546">
        <f>E19/D19</f>
        <v>0.12436831573751085</v>
      </c>
      <c r="H19" s="1"/>
      <c r="I19" s="1"/>
      <c r="J19" s="1"/>
    </row>
    <row r="20" spans="1:10" customFormat="1" ht="13.35" customHeight="1" x14ac:dyDescent="0.2">
      <c r="A20" s="313"/>
      <c r="B20" s="347"/>
      <c r="C20" s="351" t="s">
        <v>401</v>
      </c>
      <c r="D20" s="544">
        <f t="shared" si="0"/>
        <v>921414.93055552302</v>
      </c>
      <c r="E20" s="544">
        <f>F10*1000000/D10</f>
        <v>85324.163886436363</v>
      </c>
      <c r="F20" s="544">
        <f t="shared" si="1"/>
        <v>836090.76666908665</v>
      </c>
      <c r="G20" s="547">
        <f>E20/D20</f>
        <v>9.2601238656936286E-2</v>
      </c>
    </row>
    <row r="21" spans="1:10" customFormat="1" ht="13.35" customHeight="1" x14ac:dyDescent="0.2">
      <c r="A21" s="313"/>
      <c r="B21" s="275"/>
      <c r="C21" s="530" t="s">
        <v>8</v>
      </c>
      <c r="D21" s="545">
        <f>E11*1000000/$D11</f>
        <v>226434.59980791699</v>
      </c>
      <c r="E21" s="541">
        <f>F11*1000000/D11</f>
        <v>25985.452430569072</v>
      </c>
      <c r="F21" s="541">
        <f t="shared" ref="F21" si="2">D21-E21</f>
        <v>200449.14737734792</v>
      </c>
      <c r="G21" s="548">
        <f>E21/D21</f>
        <v>0.11475919516104148</v>
      </c>
    </row>
    <row r="22" spans="1:10" customFormat="1" ht="13.35" customHeight="1" x14ac:dyDescent="0.2">
      <c r="A22" s="26"/>
      <c r="B22" s="102"/>
      <c r="C22" s="148"/>
    </row>
    <row r="23" spans="1:10" ht="13.35" customHeight="1" x14ac:dyDescent="0.2">
      <c r="A23" s="26"/>
      <c r="B23" s="41"/>
      <c r="C23" s="41"/>
      <c r="D23" s="41"/>
      <c r="E23" s="352" t="s">
        <v>371</v>
      </c>
      <c r="F23"/>
      <c r="G23"/>
      <c r="H23"/>
      <c r="I23"/>
      <c r="J23"/>
    </row>
    <row r="24" spans="1:10" x14ac:dyDescent="0.2">
      <c r="A24" s="26"/>
      <c r="F24" s="10"/>
      <c r="G24" s="10"/>
      <c r="H24" s="10"/>
      <c r="I24" s="10"/>
      <c r="J24" s="10"/>
    </row>
    <row r="25" spans="1:10" x14ac:dyDescent="0.2">
      <c r="A25" s="26"/>
      <c r="D25" s="10"/>
      <c r="E25" s="10"/>
      <c r="F25" s="10"/>
      <c r="G25" s="10"/>
      <c r="H25" s="10"/>
    </row>
    <row r="26" spans="1:10" x14ac:dyDescent="0.2">
      <c r="A26" s="26"/>
    </row>
    <row r="27" spans="1:10" x14ac:dyDescent="0.2">
      <c r="A27" s="26"/>
    </row>
    <row r="28" spans="1:10" x14ac:dyDescent="0.2">
      <c r="A28" s="26"/>
    </row>
    <row r="29" spans="1:10" x14ac:dyDescent="0.2">
      <c r="A29" s="26"/>
    </row>
    <row r="30" spans="1:10" ht="11.25" x14ac:dyDescent="0.2">
      <c r="A30" s="2"/>
    </row>
    <row r="31" spans="1:10" ht="11.25" x14ac:dyDescent="0.2">
      <c r="A31" s="2"/>
    </row>
    <row r="32" spans="1:10" ht="11.25" x14ac:dyDescent="0.2">
      <c r="A32" s="2"/>
    </row>
    <row r="33" spans="1:1" ht="11.25" x14ac:dyDescent="0.2">
      <c r="A33" s="2"/>
    </row>
    <row r="34" spans="1:1" ht="11.25" x14ac:dyDescent="0.2">
      <c r="A34" s="2"/>
    </row>
    <row r="35" spans="1:1" ht="11.25" x14ac:dyDescent="0.2">
      <c r="A35" s="2"/>
    </row>
    <row r="36" spans="1:1" ht="11.25" x14ac:dyDescent="0.2">
      <c r="A36" s="2"/>
    </row>
    <row r="37" spans="1:1" ht="11.25" x14ac:dyDescent="0.2">
      <c r="A37" s="2"/>
    </row>
    <row r="38" spans="1:1" ht="11.25" x14ac:dyDescent="0.2">
      <c r="A38" s="2"/>
    </row>
    <row r="39" spans="1:1" ht="11.25" x14ac:dyDescent="0.2">
      <c r="A39" s="2"/>
    </row>
    <row r="40" spans="1:1" ht="11.25" x14ac:dyDescent="0.2">
      <c r="A40" s="2"/>
    </row>
    <row r="41" spans="1:1" ht="11.25" x14ac:dyDescent="0.2">
      <c r="A41" s="2"/>
    </row>
    <row r="42" spans="1:1" ht="11.25" x14ac:dyDescent="0.2">
      <c r="A42" s="2"/>
    </row>
    <row r="43" spans="1:1" ht="11.25" x14ac:dyDescent="0.2">
      <c r="A43" s="2"/>
    </row>
  </sheetData>
  <mergeCells count="11">
    <mergeCell ref="C3:C5"/>
    <mergeCell ref="D2:G2"/>
    <mergeCell ref="D3:D5"/>
    <mergeCell ref="E3:E5"/>
    <mergeCell ref="F3:F5"/>
    <mergeCell ref="G3:G5"/>
    <mergeCell ref="C12:C15"/>
    <mergeCell ref="D12:D15"/>
    <mergeCell ref="E12:E15"/>
    <mergeCell ref="F12:F15"/>
    <mergeCell ref="G12:G15"/>
  </mergeCells>
  <hyperlinks>
    <hyperlink ref="E23"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ignoredErrors>
    <ignoredError sqref="E21:F21 E16:F16 E17:F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fitToPage="1"/>
  </sheetPr>
  <dimension ref="B1:K51"/>
  <sheetViews>
    <sheetView showGridLines="0" zoomScaleNormal="100" zoomScaleSheetLayoutView="90" workbookViewId="0"/>
  </sheetViews>
  <sheetFormatPr defaultColWidth="9.140625" defaultRowHeight="15" x14ac:dyDescent="0.25"/>
  <cols>
    <col min="1" max="1" width="3.7109375" style="153" customWidth="1"/>
    <col min="2" max="2" width="9.140625" style="153"/>
    <col min="3" max="3" width="9.140625" style="153" customWidth="1"/>
    <col min="4" max="4" width="9.140625" style="153"/>
    <col min="5" max="8" width="9.140625" style="153" customWidth="1"/>
    <col min="9" max="9" width="9.140625" style="153"/>
    <col min="10" max="10" width="9.140625" style="153" customWidth="1"/>
    <col min="11" max="16384" width="9.140625" style="153"/>
  </cols>
  <sheetData>
    <row r="1" spans="2:2" ht="15" customHeight="1" x14ac:dyDescent="0.25">
      <c r="B1" s="447" t="s">
        <v>548</v>
      </c>
    </row>
    <row r="21" spans="2:11" x14ac:dyDescent="0.25">
      <c r="E21" s="352" t="s">
        <v>371</v>
      </c>
    </row>
    <row r="25" spans="2:11" ht="45.75" x14ac:dyDescent="0.25">
      <c r="B25" s="889" t="s">
        <v>282</v>
      </c>
      <c r="C25" s="890" t="s">
        <v>283</v>
      </c>
      <c r="D25" s="890"/>
      <c r="E25" s="891" t="s">
        <v>168</v>
      </c>
      <c r="F25" s="892" t="s">
        <v>284</v>
      </c>
      <c r="G25" s="893" t="s">
        <v>80</v>
      </c>
      <c r="H25" s="892" t="s">
        <v>464</v>
      </c>
      <c r="I25" s="892" t="s">
        <v>466</v>
      </c>
      <c r="J25" s="892" t="s">
        <v>285</v>
      </c>
      <c r="K25" s="892" t="s">
        <v>286</v>
      </c>
    </row>
    <row r="26" spans="2:11" x14ac:dyDescent="0.25">
      <c r="B26" s="894" t="s">
        <v>287</v>
      </c>
      <c r="C26" s="895">
        <v>33.824999999999996</v>
      </c>
      <c r="D26" s="896"/>
      <c r="E26" s="897">
        <v>1995</v>
      </c>
      <c r="F26" s="898"/>
      <c r="G26" s="899">
        <v>100000</v>
      </c>
      <c r="H26" s="900">
        <f>17070+0.43*(G26-56000)-2225</f>
        <v>33765</v>
      </c>
      <c r="I26" s="901">
        <f t="shared" ref="I26:I42" si="0">H26/G26</f>
        <v>0.33765000000000001</v>
      </c>
      <c r="J26" s="900">
        <f>H26</f>
        <v>33765</v>
      </c>
      <c r="K26" s="901">
        <f t="shared" ref="K26:K42" si="1">J26/G26</f>
        <v>0.33765000000000001</v>
      </c>
    </row>
    <row r="27" spans="2:11" x14ac:dyDescent="0.25">
      <c r="B27" s="894" t="s">
        <v>288</v>
      </c>
      <c r="C27" s="895">
        <v>36.466666666666661</v>
      </c>
      <c r="D27" s="896"/>
      <c r="E27" s="902">
        <v>1996</v>
      </c>
      <c r="F27" s="901">
        <f t="shared" ref="F27:F28" si="2">C27/C26-1</f>
        <v>7.8098053707809756E-2</v>
      </c>
      <c r="G27" s="900">
        <f t="shared" ref="G27:G42" si="3">C27/C26*G26</f>
        <v>107809.80537078097</v>
      </c>
      <c r="H27" s="900">
        <f t="shared" ref="H27:H42" si="4">17070+0.43*(G27-56000)-2225</f>
        <v>37123.216309435818</v>
      </c>
      <c r="I27" s="901">
        <f t="shared" si="0"/>
        <v>0.34433988802559412</v>
      </c>
      <c r="J27" s="900">
        <f>26100+(0.47*(G27-80000))-2625</f>
        <v>36545.60852426706</v>
      </c>
      <c r="K27" s="901">
        <f t="shared" si="1"/>
        <v>0.33898223263254113</v>
      </c>
    </row>
    <row r="28" spans="2:11" x14ac:dyDescent="0.25">
      <c r="B28" s="894" t="s">
        <v>289</v>
      </c>
      <c r="C28" s="895">
        <v>39.425000000000004</v>
      </c>
      <c r="D28" s="896"/>
      <c r="E28" s="902">
        <v>1997</v>
      </c>
      <c r="F28" s="901">
        <f t="shared" si="2"/>
        <v>8.1124314442413414E-2</v>
      </c>
      <c r="G28" s="900">
        <f>C28/C27*G27</f>
        <v>116555.8019216556</v>
      </c>
      <c r="H28" s="900">
        <f t="shared" si="4"/>
        <v>40883.994826311908</v>
      </c>
      <c r="I28" s="901">
        <f t="shared" si="0"/>
        <v>0.35076756499682943</v>
      </c>
      <c r="J28" s="900">
        <f>34200+(0.45*(G28-100000))-2660</f>
        <v>38990.110864745016</v>
      </c>
      <c r="K28" s="901">
        <f t="shared" si="1"/>
        <v>0.33451883322764742</v>
      </c>
    </row>
    <row r="29" spans="2:11" x14ac:dyDescent="0.25">
      <c r="B29" s="894" t="s">
        <v>290</v>
      </c>
      <c r="C29" s="895">
        <v>42.425000000000004</v>
      </c>
      <c r="D29" s="896"/>
      <c r="E29" s="897">
        <v>1998</v>
      </c>
      <c r="F29" s="901">
        <f>C29/C28-1</f>
        <v>7.6093849080532738E-2</v>
      </c>
      <c r="G29" s="900">
        <f t="shared" si="3"/>
        <v>125424.98152254253</v>
      </c>
      <c r="H29" s="900">
        <f t="shared" si="4"/>
        <v>44697.742054693284</v>
      </c>
      <c r="I29" s="901">
        <f t="shared" si="0"/>
        <v>0.35637032999410723</v>
      </c>
      <c r="J29" s="900">
        <f>34050+(0.45*(G29-100000))-3215</f>
        <v>42276.241685144138</v>
      </c>
      <c r="K29" s="901">
        <f t="shared" si="1"/>
        <v>0.3370639658220389</v>
      </c>
    </row>
    <row r="30" spans="2:11" x14ac:dyDescent="0.25">
      <c r="B30" s="894" t="s">
        <v>291</v>
      </c>
      <c r="C30" s="895">
        <v>45.675000000000004</v>
      </c>
      <c r="D30" s="896"/>
      <c r="E30" s="902">
        <v>1999</v>
      </c>
      <c r="F30" s="901">
        <f t="shared" ref="F30:F42" si="5">C30/C29-1</f>
        <v>7.6605774896876921E-2</v>
      </c>
      <c r="G30" s="900">
        <f t="shared" si="3"/>
        <v>135033.25942350336</v>
      </c>
      <c r="H30" s="900">
        <f t="shared" si="4"/>
        <v>48829.301552106444</v>
      </c>
      <c r="I30" s="901">
        <f t="shared" si="0"/>
        <v>0.36160944170771758</v>
      </c>
      <c r="J30" s="900">
        <f>42150+0.45*(G30-120000)-3515</f>
        <v>45399.966740576514</v>
      </c>
      <c r="K30" s="901">
        <f t="shared" si="1"/>
        <v>0.33621321839080465</v>
      </c>
    </row>
    <row r="31" spans="2:11" x14ac:dyDescent="0.25">
      <c r="B31" s="894" t="s">
        <v>292</v>
      </c>
      <c r="C31" s="895">
        <v>47.391666666666673</v>
      </c>
      <c r="D31" s="896"/>
      <c r="E31" s="902">
        <v>2000</v>
      </c>
      <c r="F31" s="901">
        <f t="shared" si="5"/>
        <v>3.7584382411968598E-2</v>
      </c>
      <c r="G31" s="900">
        <f t="shared" si="3"/>
        <v>140108.40108401087</v>
      </c>
      <c r="H31" s="900">
        <f t="shared" si="4"/>
        <v>51011.612466124672</v>
      </c>
      <c r="I31" s="901">
        <f t="shared" si="0"/>
        <v>0.36408675048355899</v>
      </c>
      <c r="J31" s="900">
        <f>40870+0.45*(G31-120000)-3710</f>
        <v>46208.780487804892</v>
      </c>
      <c r="K31" s="901">
        <f t="shared" si="1"/>
        <v>0.32980735009671186</v>
      </c>
    </row>
    <row r="32" spans="2:11" x14ac:dyDescent="0.25">
      <c r="B32" s="903" t="s">
        <v>293</v>
      </c>
      <c r="C32" s="895">
        <v>50.466666666666669</v>
      </c>
      <c r="D32" s="896"/>
      <c r="E32" s="897">
        <v>2001</v>
      </c>
      <c r="F32" s="901">
        <f t="shared" si="5"/>
        <v>6.488482503956372E-2</v>
      </c>
      <c r="G32" s="900">
        <f t="shared" si="3"/>
        <v>149199.31017491993</v>
      </c>
      <c r="H32" s="900">
        <f t="shared" si="4"/>
        <v>54920.703375215569</v>
      </c>
      <c r="I32" s="901">
        <f t="shared" si="0"/>
        <v>0.36810293097754293</v>
      </c>
      <c r="J32" s="900">
        <f>17400+0.4*(G32-70000)-3800</f>
        <v>45279.724069967968</v>
      </c>
      <c r="K32" s="901">
        <f t="shared" si="1"/>
        <v>0.30348480845442533</v>
      </c>
    </row>
    <row r="33" spans="2:11" x14ac:dyDescent="0.25">
      <c r="B33" s="903" t="s">
        <v>294</v>
      </c>
      <c r="C33" s="895">
        <v>53.116666666666674</v>
      </c>
      <c r="D33" s="896"/>
      <c r="E33" s="902">
        <v>2002</v>
      </c>
      <c r="F33" s="901">
        <f t="shared" si="5"/>
        <v>5.2509907529722621E-2</v>
      </c>
      <c r="G33" s="900">
        <f t="shared" si="3"/>
        <v>157033.75215570338</v>
      </c>
      <c r="H33" s="900">
        <f t="shared" si="4"/>
        <v>58289.51342695245</v>
      </c>
      <c r="I33" s="901">
        <f t="shared" si="0"/>
        <v>0.37119098682146218</v>
      </c>
      <c r="J33" s="900">
        <f>26660+0.4*(G33-100000)-4140</f>
        <v>45333.500862281348</v>
      </c>
      <c r="K33" s="901">
        <f t="shared" si="1"/>
        <v>0.2886863508001255</v>
      </c>
    </row>
    <row r="34" spans="2:11" x14ac:dyDescent="0.25">
      <c r="B34" s="903" t="s">
        <v>295</v>
      </c>
      <c r="C34" s="895">
        <v>58.633333333333326</v>
      </c>
      <c r="D34" s="896"/>
      <c r="E34" s="902">
        <v>2003</v>
      </c>
      <c r="F34" s="901">
        <f t="shared" si="5"/>
        <v>0.10385942893002786</v>
      </c>
      <c r="G34" s="900">
        <f t="shared" si="3"/>
        <v>173343.18797733425</v>
      </c>
      <c r="H34" s="900">
        <f t="shared" si="4"/>
        <v>65302.570830253724</v>
      </c>
      <c r="I34" s="901">
        <f t="shared" si="0"/>
        <v>0.37672418277430353</v>
      </c>
      <c r="J34" s="900">
        <f>47200+0.38*(G34-170000)-4860</f>
        <v>43610.411431387016</v>
      </c>
      <c r="K34" s="901">
        <f t="shared" si="1"/>
        <v>0.25158422399090385</v>
      </c>
    </row>
    <row r="35" spans="2:11" x14ac:dyDescent="0.25">
      <c r="B35" s="903" t="s">
        <v>296</v>
      </c>
      <c r="C35" s="895">
        <v>60.6</v>
      </c>
      <c r="D35" s="896"/>
      <c r="E35" s="897">
        <v>2004</v>
      </c>
      <c r="F35" s="901">
        <f t="shared" si="5"/>
        <v>3.3541785105173583E-2</v>
      </c>
      <c r="G35" s="900">
        <f t="shared" si="3"/>
        <v>179157.42793791569</v>
      </c>
      <c r="H35" s="900">
        <f t="shared" si="4"/>
        <v>67802.694013303757</v>
      </c>
      <c r="I35" s="901">
        <f t="shared" si="0"/>
        <v>0.37845315594059409</v>
      </c>
      <c r="J35" s="900">
        <f>31600+(G35-140000)*0.35-5400</f>
        <v>39905.099778270494</v>
      </c>
      <c r="K35" s="901">
        <f t="shared" si="1"/>
        <v>0.22273762376237621</v>
      </c>
    </row>
    <row r="36" spans="2:11" x14ac:dyDescent="0.25">
      <c r="B36" s="903" t="s">
        <v>297</v>
      </c>
      <c r="C36" s="895">
        <v>61.824999999999996</v>
      </c>
      <c r="D36" s="896"/>
      <c r="E36" s="902">
        <v>2005</v>
      </c>
      <c r="F36" s="901">
        <f t="shared" si="5"/>
        <v>2.0214521452145195E-2</v>
      </c>
      <c r="G36" s="900">
        <f t="shared" si="3"/>
        <v>182779.00960827785</v>
      </c>
      <c r="H36" s="900">
        <f t="shared" si="4"/>
        <v>69359.974131559473</v>
      </c>
      <c r="I36" s="901">
        <f t="shared" si="0"/>
        <v>0.37947450465022237</v>
      </c>
      <c r="J36" s="900">
        <f>35570+(G36-155000)*0.35-5800</f>
        <v>39492.653362897247</v>
      </c>
      <c r="K36" s="901">
        <f t="shared" si="1"/>
        <v>0.21606777193691867</v>
      </c>
    </row>
    <row r="37" spans="2:11" x14ac:dyDescent="0.25">
      <c r="B37" s="903" t="s">
        <v>298</v>
      </c>
      <c r="C37" s="895">
        <v>64.016666666666666</v>
      </c>
      <c r="D37" s="896"/>
      <c r="E37" s="902">
        <v>2006</v>
      </c>
      <c r="F37" s="901">
        <f t="shared" si="5"/>
        <v>3.5449521498854386E-2</v>
      </c>
      <c r="G37" s="900">
        <f t="shared" si="3"/>
        <v>189258.43803892581</v>
      </c>
      <c r="H37" s="900">
        <f t="shared" si="4"/>
        <v>72146.128356738103</v>
      </c>
      <c r="I37" s="901">
        <f t="shared" si="0"/>
        <v>0.38120428924759175</v>
      </c>
      <c r="J37" s="900">
        <f>41900+0.35*(G37-180000)-6300</f>
        <v>38840.453313624035</v>
      </c>
      <c r="K37" s="901">
        <f t="shared" si="1"/>
        <v>0.20522442072376984</v>
      </c>
    </row>
    <row r="38" spans="2:11" x14ac:dyDescent="0.25">
      <c r="B38" s="903" t="s">
        <v>299</v>
      </c>
      <c r="C38" s="895">
        <v>67.36666666666666</v>
      </c>
      <c r="D38" s="896"/>
      <c r="E38" s="897">
        <v>2007</v>
      </c>
      <c r="F38" s="901">
        <f t="shared" si="5"/>
        <v>5.2330122363967613E-2</v>
      </c>
      <c r="G38" s="900">
        <f t="shared" si="3"/>
        <v>199162.35525991619</v>
      </c>
      <c r="H38" s="900">
        <f t="shared" si="4"/>
        <v>76404.812761763955</v>
      </c>
      <c r="I38" s="901">
        <f t="shared" si="0"/>
        <v>0.38363079539831763</v>
      </c>
      <c r="J38" s="900">
        <f>33000+0.3*(G38-160000)-7200</f>
        <v>37548.706577974859</v>
      </c>
      <c r="K38" s="901">
        <f t="shared" si="1"/>
        <v>0.1885331519049975</v>
      </c>
    </row>
    <row r="39" spans="2:11" x14ac:dyDescent="0.25">
      <c r="B39" s="903" t="s">
        <v>300</v>
      </c>
      <c r="C39" s="895">
        <v>72.816666666666663</v>
      </c>
      <c r="D39" s="896"/>
      <c r="E39" s="902">
        <v>2008</v>
      </c>
      <c r="F39" s="901">
        <f t="shared" si="5"/>
        <v>8.0900544285007481E-2</v>
      </c>
      <c r="G39" s="900">
        <f t="shared" si="3"/>
        <v>215274.69820152744</v>
      </c>
      <c r="H39" s="900">
        <f t="shared" si="4"/>
        <v>83333.1202266568</v>
      </c>
      <c r="I39" s="901">
        <f t="shared" si="0"/>
        <v>0.38710132181277179</v>
      </c>
      <c r="J39" s="900">
        <f>37125+0.3*(G39-180000)-7740</f>
        <v>39967.409460458235</v>
      </c>
      <c r="K39" s="901">
        <f t="shared" si="1"/>
        <v>0.18565771915770199</v>
      </c>
    </row>
    <row r="40" spans="2:11" x14ac:dyDescent="0.25">
      <c r="B40" s="903" t="s">
        <v>301</v>
      </c>
      <c r="C40" s="895">
        <v>81.066666666666663</v>
      </c>
      <c r="D40" s="896"/>
      <c r="E40" s="902">
        <v>2009</v>
      </c>
      <c r="F40" s="901">
        <f t="shared" si="5"/>
        <v>0.11329823758297097</v>
      </c>
      <c r="G40" s="900">
        <f t="shared" si="3"/>
        <v>239664.94210396646</v>
      </c>
      <c r="H40" s="900">
        <f t="shared" si="4"/>
        <v>93820.925104705573</v>
      </c>
      <c r="I40" s="901">
        <f t="shared" si="0"/>
        <v>0.39146703844572367</v>
      </c>
      <c r="J40" s="900">
        <f>40210+0.3*(G40-195000)-8280</f>
        <v>45329.482631189938</v>
      </c>
      <c r="K40" s="901">
        <f t="shared" si="1"/>
        <v>0.18913689350328947</v>
      </c>
    </row>
    <row r="41" spans="2:11" x14ac:dyDescent="0.25">
      <c r="B41" s="903" t="s">
        <v>302</v>
      </c>
      <c r="C41" s="895">
        <v>85.725000000000009</v>
      </c>
      <c r="D41" s="896"/>
      <c r="E41" s="897">
        <v>2010</v>
      </c>
      <c r="F41" s="901">
        <f t="shared" si="5"/>
        <v>5.7462993421052877E-2</v>
      </c>
      <c r="G41" s="900">
        <f t="shared" si="3"/>
        <v>253436.80709534371</v>
      </c>
      <c r="H41" s="900">
        <f t="shared" si="4"/>
        <v>99742.827050997788</v>
      </c>
      <c r="I41" s="901">
        <f t="shared" si="0"/>
        <v>0.39356093613298337</v>
      </c>
      <c r="J41" s="900">
        <f>43260+0.3*(G41-210000)-9756</f>
        <v>46535.042128603112</v>
      </c>
      <c r="K41" s="901">
        <f t="shared" si="1"/>
        <v>0.18361595800524935</v>
      </c>
    </row>
    <row r="42" spans="2:11" x14ac:dyDescent="0.25">
      <c r="B42" s="903" t="s">
        <v>303</v>
      </c>
      <c r="C42" s="895">
        <v>88.991666666666674</v>
      </c>
      <c r="D42" s="896"/>
      <c r="E42" s="902">
        <v>2011</v>
      </c>
      <c r="F42" s="901">
        <f t="shared" si="5"/>
        <v>3.8106347817634001E-2</v>
      </c>
      <c r="G42" s="900">
        <f t="shared" si="3"/>
        <v>263094.35821630951</v>
      </c>
      <c r="H42" s="900">
        <f t="shared" si="4"/>
        <v>103895.57403301309</v>
      </c>
      <c r="I42" s="901">
        <f t="shared" si="0"/>
        <v>0.39489852514280366</v>
      </c>
      <c r="J42" s="900">
        <f>45450+0.3*(G42-221000)-10260</f>
        <v>47818.307464892852</v>
      </c>
      <c r="K42" s="901">
        <f t="shared" si="1"/>
        <v>0.18175345069763088</v>
      </c>
    </row>
    <row r="43" spans="2:11" x14ac:dyDescent="0.25">
      <c r="B43" s="904" t="s">
        <v>349</v>
      </c>
      <c r="C43" s="905">
        <v>93.95</v>
      </c>
      <c r="D43" s="906"/>
      <c r="E43" s="907">
        <v>2012</v>
      </c>
      <c r="F43" s="908">
        <f t="shared" ref="F43" si="6">C43/C42-1</f>
        <v>5.5716827418297532E-2</v>
      </c>
      <c r="G43" s="909">
        <f t="shared" ref="G43" si="7">C43/C42*G42</f>
        <v>277753.14116777538</v>
      </c>
      <c r="H43" s="909">
        <f t="shared" ref="H43" si="8">17070+0.43*(G43-56000)-2225</f>
        <v>110198.85070214341</v>
      </c>
      <c r="I43" s="908">
        <f t="shared" ref="I43" si="9">H43/G43</f>
        <v>0.39675105109100584</v>
      </c>
      <c r="J43" s="909">
        <f>48250+0.3*(G43-235000)-10755</f>
        <v>50320.942350332611</v>
      </c>
      <c r="K43" s="908">
        <f t="shared" ref="K43" si="10">J43/G43</f>
        <v>0.18117146088344865</v>
      </c>
    </row>
    <row r="44" spans="2:11" x14ac:dyDescent="0.25">
      <c r="B44" s="910"/>
      <c r="C44" s="911"/>
      <c r="D44" s="911"/>
      <c r="E44" s="911"/>
      <c r="F44" s="911"/>
      <c r="G44" s="911"/>
      <c r="H44" s="911"/>
      <c r="I44" s="911"/>
      <c r="J44" s="911"/>
      <c r="K44" s="912"/>
    </row>
    <row r="45" spans="2:11" x14ac:dyDescent="0.25">
      <c r="B45" s="910" t="s">
        <v>280</v>
      </c>
      <c r="C45" s="911"/>
      <c r="D45" s="911"/>
      <c r="E45" s="911"/>
      <c r="F45" s="911"/>
      <c r="G45" s="911"/>
      <c r="H45" s="911"/>
      <c r="I45" s="911"/>
      <c r="J45" s="911"/>
      <c r="K45" s="912"/>
    </row>
    <row r="46" spans="2:11" x14ac:dyDescent="0.25">
      <c r="B46" s="910"/>
      <c r="C46" s="911"/>
      <c r="D46" s="911"/>
      <c r="E46" s="911"/>
      <c r="F46" s="911"/>
      <c r="G46" s="911"/>
      <c r="H46" s="911"/>
      <c r="I46" s="911"/>
      <c r="J46" s="911"/>
      <c r="K46" s="912"/>
    </row>
    <row r="47" spans="2:11" x14ac:dyDescent="0.25">
      <c r="B47" s="910" t="s">
        <v>465</v>
      </c>
      <c r="C47" s="911"/>
      <c r="D47" s="911"/>
      <c r="E47" s="913">
        <v>100000</v>
      </c>
      <c r="F47" s="911"/>
      <c r="G47" s="911"/>
      <c r="H47" s="911"/>
      <c r="I47" s="911"/>
      <c r="J47" s="911"/>
      <c r="K47" s="912"/>
    </row>
    <row r="48" spans="2:11" x14ac:dyDescent="0.25">
      <c r="B48" s="910"/>
      <c r="C48" s="911"/>
      <c r="D48" s="911"/>
      <c r="E48" s="911"/>
      <c r="F48" s="911"/>
      <c r="G48" s="911" t="s">
        <v>281</v>
      </c>
      <c r="H48" s="911"/>
      <c r="I48" s="911"/>
      <c r="J48" s="911"/>
      <c r="K48" s="912"/>
    </row>
    <row r="49" spans="2:11" x14ac:dyDescent="0.25">
      <c r="B49" s="910"/>
      <c r="C49" s="911"/>
      <c r="D49" s="911"/>
      <c r="E49" s="911"/>
      <c r="F49" s="911"/>
      <c r="G49" s="914">
        <v>100000</v>
      </c>
      <c r="H49" s="911"/>
      <c r="I49" s="911"/>
      <c r="J49" s="911"/>
      <c r="K49" s="912"/>
    </row>
    <row r="50" spans="2:11" x14ac:dyDescent="0.25">
      <c r="B50" s="915"/>
      <c r="C50" s="916"/>
      <c r="D50" s="916"/>
      <c r="E50" s="916"/>
      <c r="F50" s="916"/>
      <c r="G50" s="917">
        <f>C27/C26*G49</f>
        <v>107809.80537078097</v>
      </c>
      <c r="H50" s="918"/>
      <c r="I50" s="916"/>
      <c r="J50" s="916"/>
      <c r="K50" s="919"/>
    </row>
    <row r="51" spans="2:11" x14ac:dyDescent="0.25">
      <c r="B51" s="209"/>
      <c r="C51" s="209"/>
      <c r="D51" s="209"/>
      <c r="E51" s="209"/>
      <c r="F51" s="209"/>
      <c r="G51" s="209"/>
      <c r="H51" s="209"/>
      <c r="I51" s="209"/>
      <c r="J51" s="209"/>
      <c r="K51" s="209"/>
    </row>
  </sheetData>
  <hyperlinks>
    <hyperlink ref="E21" location="CONTENTS!A1" display="BACK TO CONTENTS"/>
  </hyperlinks>
  <pageMargins left="0.98425196850393704" right="0.98425196850393704"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64</vt:i4>
      </vt:variant>
      <vt:variant>
        <vt:lpstr>Named Ranges</vt:lpstr>
      </vt:variant>
      <vt:variant>
        <vt:i4>64</vt:i4>
      </vt:variant>
    </vt:vector>
  </HeadingPairs>
  <TitlesOfParts>
    <vt:vector size="128" baseType="lpstr">
      <vt:lpstr>CONTENTS</vt:lpstr>
      <vt:lpstr>2.1</vt:lpstr>
      <vt:lpstr>2.2</vt:lpstr>
      <vt:lpstr>2.3</vt:lpstr>
      <vt:lpstr>2.4</vt:lpstr>
      <vt:lpstr>2.5</vt:lpstr>
      <vt:lpstr>2.6</vt:lpstr>
      <vt:lpstr>2.7</vt:lpstr>
      <vt:lpstr>Fig 2.1</vt:lpstr>
      <vt:lpstr>Fig 2.2</vt:lpstr>
      <vt:lpstr>Fig 2.3</vt:lpstr>
      <vt:lpstr>Fig 2.4</vt:lpstr>
      <vt:lpstr>Fig 2.5</vt:lpstr>
      <vt:lpstr>Fig 2.6</vt:lpstr>
      <vt:lpstr>Fig 2.7</vt:lpstr>
      <vt:lpstr>Fig 2.8</vt:lpstr>
      <vt:lpstr>Fig 2.9</vt:lpstr>
      <vt:lpstr>A2.1.1</vt:lpstr>
      <vt:lpstr>A2.1.1 continued</vt:lpstr>
      <vt:lpstr>A2.1.2</vt:lpstr>
      <vt:lpstr>A2.1.2 continued</vt:lpstr>
      <vt:lpstr>A2.1.3</vt:lpstr>
      <vt:lpstr>A2.1.4</vt:lpstr>
      <vt:lpstr>A2.1.5</vt:lpstr>
      <vt:lpstr>A2.1.6</vt:lpstr>
      <vt:lpstr>A2.2.1</vt:lpstr>
      <vt:lpstr>A2.3.1</vt:lpstr>
      <vt:lpstr>A2.3.1 continued</vt:lpstr>
      <vt:lpstr>A2.3.2</vt:lpstr>
      <vt:lpstr>A2.4.1</vt:lpstr>
      <vt:lpstr>A2.4.1 continued</vt:lpstr>
      <vt:lpstr>A2.5.1</vt:lpstr>
      <vt:lpstr>A2.5.2</vt:lpstr>
      <vt:lpstr>A2.5.2 continued</vt:lpstr>
      <vt:lpstr>A2.5.3</vt:lpstr>
      <vt:lpstr>A2.5.3 continued</vt:lpstr>
      <vt:lpstr>A2.5.4</vt:lpstr>
      <vt:lpstr>A2.5.4 continued</vt:lpstr>
      <vt:lpstr>A2.6.1</vt:lpstr>
      <vt:lpstr>A2.6.2</vt:lpstr>
      <vt:lpstr>A2.6.2 continued</vt:lpstr>
      <vt:lpstr>A2.6.3</vt:lpstr>
      <vt:lpstr>A2.6.3 continued</vt:lpstr>
      <vt:lpstr>A2.6.4</vt:lpstr>
      <vt:lpstr>A2.6.4 continued</vt:lpstr>
      <vt:lpstr>A2.7.1</vt:lpstr>
      <vt:lpstr>A2.7.2</vt:lpstr>
      <vt:lpstr>A2.7.2 continued</vt:lpstr>
      <vt:lpstr>A2.7.3</vt:lpstr>
      <vt:lpstr>A2.7.3 continued</vt:lpstr>
      <vt:lpstr>A2.7.4</vt:lpstr>
      <vt:lpstr>A2.7.4 continued</vt:lpstr>
      <vt:lpstr>A2.7.5</vt:lpstr>
      <vt:lpstr>A2.7.5 continued</vt:lpstr>
      <vt:lpstr>A2.7.6</vt:lpstr>
      <vt:lpstr>A2.7.6 continued</vt:lpstr>
      <vt:lpstr>A2.7.7</vt:lpstr>
      <vt:lpstr>A2.7.7 continued</vt:lpstr>
      <vt:lpstr>A2.7.8</vt:lpstr>
      <vt:lpstr>A2.7.8 continued</vt:lpstr>
      <vt:lpstr>A2.7.9</vt:lpstr>
      <vt:lpstr>A2.7.10</vt:lpstr>
      <vt:lpstr>A2.7.11</vt:lpstr>
      <vt:lpstr>A2.7.12</vt:lpstr>
      <vt:lpstr>'2.1'!Print_Area</vt:lpstr>
      <vt:lpstr>'2.2'!Print_Area</vt:lpstr>
      <vt:lpstr>'2.3'!Print_Area</vt:lpstr>
      <vt:lpstr>'2.4'!Print_Area</vt:lpstr>
      <vt:lpstr>'2.5'!Print_Area</vt:lpstr>
      <vt:lpstr>'2.6'!Print_Area</vt:lpstr>
      <vt:lpstr>'2.7'!Print_Area</vt:lpstr>
      <vt:lpstr>A2.1.1!Print_Area</vt:lpstr>
      <vt:lpstr>'A2.1.1 continued'!Print_Area</vt:lpstr>
      <vt:lpstr>A2.1.2!Print_Area</vt:lpstr>
      <vt:lpstr>'A2.1.2 continued'!Print_Area</vt:lpstr>
      <vt:lpstr>A2.1.3!Print_Area</vt:lpstr>
      <vt:lpstr>A2.1.4!Print_Area</vt:lpstr>
      <vt:lpstr>A2.1.5!Print_Area</vt:lpstr>
      <vt:lpstr>A2.1.6!Print_Area</vt:lpstr>
      <vt:lpstr>A2.2.1!Print_Area</vt:lpstr>
      <vt:lpstr>A2.3.1!Print_Area</vt:lpstr>
      <vt:lpstr>'A2.3.1 continued'!Print_Area</vt:lpstr>
      <vt:lpstr>A2.3.2!Print_Area</vt:lpstr>
      <vt:lpstr>A2.4.1!Print_Area</vt:lpstr>
      <vt:lpstr>'A2.4.1 continued'!Print_Area</vt:lpstr>
      <vt:lpstr>A2.5.1!Print_Area</vt:lpstr>
      <vt:lpstr>A2.5.2!Print_Area</vt:lpstr>
      <vt:lpstr>'A2.5.2 continued'!Print_Area</vt:lpstr>
      <vt:lpstr>A2.5.3!Print_Area</vt:lpstr>
      <vt:lpstr>'A2.5.3 continued'!Print_Area</vt:lpstr>
      <vt:lpstr>A2.5.4!Print_Area</vt:lpstr>
      <vt:lpstr>'A2.5.4 continued'!Print_Area</vt:lpstr>
      <vt:lpstr>A2.6.1!Print_Area</vt:lpstr>
      <vt:lpstr>A2.6.2!Print_Area</vt:lpstr>
      <vt:lpstr>'A2.6.2 continued'!Print_Area</vt:lpstr>
      <vt:lpstr>A2.6.3!Print_Area</vt:lpstr>
      <vt:lpstr>'A2.6.3 continued'!Print_Area</vt:lpstr>
      <vt:lpstr>A2.6.4!Print_Area</vt:lpstr>
      <vt:lpstr>'A2.6.4 continued'!Print_Area</vt:lpstr>
      <vt:lpstr>A2.7.1!Print_Area</vt:lpstr>
      <vt:lpstr>A2.7.10!Print_Area</vt:lpstr>
      <vt:lpstr>A2.7.11!Print_Area</vt:lpstr>
      <vt:lpstr>A2.7.12!Print_Area</vt:lpstr>
      <vt:lpstr>A2.7.2!Print_Area</vt:lpstr>
      <vt:lpstr>'A2.7.2 continued'!Print_Area</vt:lpstr>
      <vt:lpstr>A2.7.3!Print_Area</vt:lpstr>
      <vt:lpstr>'A2.7.3 continued'!Print_Area</vt:lpstr>
      <vt:lpstr>A2.7.4!Print_Area</vt:lpstr>
      <vt:lpstr>'A2.7.4 continued'!Print_Area</vt:lpstr>
      <vt:lpstr>A2.7.5!Print_Area</vt:lpstr>
      <vt:lpstr>'A2.7.5 continued'!Print_Area</vt:lpstr>
      <vt:lpstr>A2.7.6!Print_Area</vt:lpstr>
      <vt:lpstr>'A2.7.6 continued'!Print_Area</vt:lpstr>
      <vt:lpstr>A2.7.7!Print_Area</vt:lpstr>
      <vt:lpstr>'A2.7.7 continued'!Print_Area</vt:lpstr>
      <vt:lpstr>A2.7.8!Print_Area</vt:lpstr>
      <vt:lpstr>'A2.7.8 continued'!Print_Area</vt:lpstr>
      <vt:lpstr>A2.7.9!Print_Area</vt:lpstr>
      <vt:lpstr>CONTENTS!Print_Area</vt:lpstr>
      <vt:lpstr>'Fig 2.1'!Print_Area</vt:lpstr>
      <vt:lpstr>'Fig 2.2'!Print_Area</vt:lpstr>
      <vt:lpstr>'Fig 2.3'!Print_Area</vt:lpstr>
      <vt:lpstr>'Fig 2.4'!Print_Area</vt:lpstr>
      <vt:lpstr>'Fig 2.5'!Print_Area</vt:lpstr>
      <vt:lpstr>'Fig 2.6'!Print_Area</vt:lpstr>
      <vt:lpstr>'Fig 2.7'!Print_Area</vt:lpstr>
      <vt:lpstr>'Fig 2.8'!Print_Area</vt:lpstr>
      <vt:lpstr>'Fig 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Devenee Mudely</dc:creator>
  <cp:lastModifiedBy>Cristina Da Silva (s2016511)</cp:lastModifiedBy>
  <cp:lastPrinted>2013-10-02T06:32:38Z</cp:lastPrinted>
  <dcterms:created xsi:type="dcterms:W3CDTF">1996-10-14T23:33:28Z</dcterms:created>
  <dcterms:modified xsi:type="dcterms:W3CDTF">2013-10-03T09:17:37Z</dcterms:modified>
</cp:coreProperties>
</file>